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Rebuttal Testimony\Chapter 5\Workpapers\"/>
    </mc:Choice>
  </mc:AlternateContent>
  <xr:revisionPtr revIDLastSave="10" documentId="13_ncr:1_{7723E613-AA58-4CB1-9C6B-AF0FB8151954}" xr6:coauthVersionLast="41" xr6:coauthVersionMax="41" xr10:uidLastSave="{890B3625-25B5-4353-B9AD-D6B6B3D3A182}"/>
  <bookViews>
    <workbookView xWindow="-110" yWindow="-110" windowWidth="25820" windowHeight="14020" tabRatio="803" firstSheet="3" activeTab="7" xr2:uid="{00000000-000D-0000-FFFF-FFFF00000000}"/>
  </bookViews>
  <sheets>
    <sheet name="Tab Descriptions" sheetId="54" r:id="rId1"/>
    <sheet name="Marg Distrib Demand Cost Sum" sheetId="51" r:id="rId2"/>
    <sheet name="Marg F&amp;LD Costs" sheetId="47" r:id="rId3"/>
    <sheet name="Marg Substation Costs" sheetId="46" r:id="rId4"/>
    <sheet name="Marg F&amp;LD Cost Cal" sheetId="55" r:id="rId5"/>
    <sheet name="Marg Substation Cost Cal" sheetId="39" r:id="rId6"/>
    <sheet name="Distrib Capital Actual Data" sheetId="56" r:id="rId7"/>
    <sheet name="Distrib Capital Forecast Data" sheetId="1" r:id="rId8"/>
    <sheet name="Distrib Capital Historic Data" sheetId="3" r:id="rId9"/>
    <sheet name="Inputs" sheetId="53" r:id="rId10"/>
  </sheets>
  <definedNames>
    <definedName name="_xlnm.Print_Area" localSheetId="6">'Distrib Capital Actual Data'!$A$1:$G$79</definedName>
    <definedName name="_xlnm.Print_Area" localSheetId="7">'Distrib Capital Forecast Data'!$A$1:$G$61</definedName>
    <definedName name="_xlnm.Print_Area" localSheetId="1">'Marg Distrib Demand Cost Sum'!$A$1:$D$19</definedName>
    <definedName name="_xlnm.Print_Area" localSheetId="4">'Marg F&amp;LD Cost Cal'!$A$1:$G$38</definedName>
    <definedName name="_xlnm.Print_Area" localSheetId="2">'Marg F&amp;LD Costs'!$A$1:$G$32</definedName>
    <definedName name="_xlnm.Print_Area" localSheetId="5">'Marg Substation Cost Cal'!$A$1:$G$38</definedName>
    <definedName name="_xlnm.Print_Area" localSheetId="3">'Marg Substation Costs'!$A$1:$G$32</definedName>
    <definedName name="_xlnm.Print_Area" localSheetId="0">'Tab Descriptions'!$A$1:$D$18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54" l="1"/>
  <c r="D17" i="54"/>
  <c r="D18" i="54" s="1"/>
  <c r="D19" i="54" s="1"/>
  <c r="A16" i="54"/>
  <c r="A17" i="54"/>
  <c r="A18" i="54" s="1"/>
  <c r="A19" i="54" s="1"/>
  <c r="G27" i="1" l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G26" i="1"/>
  <c r="A26" i="1"/>
  <c r="G13" i="56" l="1"/>
  <c r="G14" i="56" s="1"/>
  <c r="G15" i="56" s="1"/>
  <c r="G16" i="56" s="1"/>
  <c r="G17" i="56" s="1"/>
  <c r="G18" i="56" s="1"/>
  <c r="G19" i="56" s="1"/>
  <c r="G20" i="56" s="1"/>
  <c r="G21" i="56" s="1"/>
  <c r="G22" i="56" s="1"/>
  <c r="G23" i="56" s="1"/>
  <c r="G24" i="56" s="1"/>
  <c r="G25" i="56" s="1"/>
  <c r="G26" i="56" s="1"/>
  <c r="G27" i="56" s="1"/>
  <c r="G28" i="56" s="1"/>
  <c r="G29" i="56" s="1"/>
  <c r="G30" i="56" s="1"/>
  <c r="G31" i="56" s="1"/>
  <c r="G32" i="56" s="1"/>
  <c r="G33" i="56" s="1"/>
  <c r="G34" i="56" s="1"/>
  <c r="G35" i="56" s="1"/>
  <c r="G36" i="56" s="1"/>
  <c r="G37" i="56" s="1"/>
  <c r="G38" i="56" s="1"/>
  <c r="G39" i="56" s="1"/>
  <c r="G40" i="56" s="1"/>
  <c r="G41" i="56" s="1"/>
  <c r="G42" i="56" s="1"/>
  <c r="G43" i="56" s="1"/>
  <c r="G44" i="56" s="1"/>
  <c r="G45" i="56" s="1"/>
  <c r="G46" i="56" s="1"/>
  <c r="A13" i="56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G47" i="56" l="1"/>
  <c r="A27" i="56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G48" i="56" l="1"/>
  <c r="G49" i="56" s="1"/>
  <c r="G50" i="56" s="1"/>
  <c r="G51" i="56" s="1"/>
  <c r="G52" i="56" s="1"/>
  <c r="G53" i="56" s="1"/>
  <c r="G54" i="56" s="1"/>
  <c r="G55" i="56" s="1"/>
  <c r="G56" i="56" s="1"/>
  <c r="G57" i="56" s="1"/>
  <c r="G58" i="56" s="1"/>
  <c r="A47" i="56"/>
  <c r="G59" i="56" l="1"/>
  <c r="G60" i="56" s="1"/>
  <c r="G61" i="56" s="1"/>
  <c r="G62" i="56" s="1"/>
  <c r="G63" i="56" s="1"/>
  <c r="G64" i="56" s="1"/>
  <c r="G65" i="56" s="1"/>
  <c r="G66" i="56" s="1"/>
  <c r="G67" i="56" s="1"/>
  <c r="G68" i="56" s="1"/>
  <c r="A48" i="56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G69" i="56" l="1"/>
  <c r="G70" i="56" s="1"/>
  <c r="G71" i="56" s="1"/>
  <c r="G72" i="56" s="1"/>
  <c r="G73" i="56" s="1"/>
  <c r="G74" i="56" s="1"/>
  <c r="A59" i="56"/>
  <c r="A60" i="56" s="1"/>
  <c r="A61" i="56" s="1"/>
  <c r="A62" i="56" s="1"/>
  <c r="A63" i="56" s="1"/>
  <c r="A64" i="56" s="1"/>
  <c r="A65" i="56" s="1"/>
  <c r="A66" i="56" s="1"/>
  <c r="A67" i="56" s="1"/>
  <c r="A68" i="56" s="1"/>
  <c r="A69" i="56" l="1"/>
  <c r="A70" i="56" s="1"/>
  <c r="A71" i="56" s="1"/>
  <c r="A72" i="56" s="1"/>
  <c r="A73" i="56" s="1"/>
  <c r="A74" i="56" s="1"/>
  <c r="A3" i="51"/>
  <c r="A3" i="56" s="1"/>
  <c r="E12" i="39" l="1"/>
  <c r="A1" i="51"/>
  <c r="A1" i="56" s="1"/>
  <c r="F14" i="46" l="1"/>
  <c r="F14" i="47" l="1"/>
  <c r="D10" i="53"/>
  <c r="D11" i="53" s="1"/>
  <c r="D12" i="53" s="1"/>
  <c r="D13" i="53" s="1"/>
  <c r="D14" i="53" s="1"/>
  <c r="D15" i="53" s="1"/>
  <c r="D16" i="53" s="1"/>
  <c r="D17" i="53" s="1"/>
  <c r="D18" i="53" s="1"/>
  <c r="D19" i="53" s="1"/>
  <c r="A10" i="53"/>
  <c r="A11" i="53" s="1"/>
  <c r="A12" i="53" s="1"/>
  <c r="A13" i="53" s="1"/>
  <c r="A14" i="53" s="1"/>
  <c r="A15" i="53" s="1"/>
  <c r="A16" i="53" s="1"/>
  <c r="A17" i="53" s="1"/>
  <c r="A18" i="53" s="1"/>
  <c r="A19" i="53" s="1"/>
  <c r="G13" i="1" l="1"/>
  <c r="G14" i="1" s="1"/>
  <c r="G15" i="1" s="1"/>
  <c r="G16" i="1" s="1"/>
  <c r="G17" i="1" s="1"/>
  <c r="A13" i="1"/>
  <c r="A14" i="1" s="1"/>
  <c r="A15" i="1" s="1"/>
  <c r="A16" i="1" s="1"/>
  <c r="A17" i="1" s="1"/>
  <c r="G18" i="1" l="1"/>
  <c r="G19" i="1" s="1"/>
  <c r="G20" i="1" s="1"/>
  <c r="G21" i="1" s="1"/>
  <c r="G22" i="1" s="1"/>
  <c r="G23" i="1" s="1"/>
  <c r="G24" i="1" s="1"/>
  <c r="G25" i="1" s="1"/>
  <c r="A18" i="1"/>
  <c r="A19" i="1" s="1"/>
  <c r="A20" i="1" s="1"/>
  <c r="A21" i="1" s="1"/>
  <c r="A22" i="1" s="1"/>
  <c r="A23" i="1" s="1"/>
  <c r="A24" i="1" s="1"/>
  <c r="A25" i="1" s="1"/>
  <c r="F15" i="1"/>
  <c r="F13" i="1"/>
  <c r="F14" i="1"/>
  <c r="F16" i="1"/>
  <c r="O25" i="3" l="1"/>
  <c r="C25" i="1" l="1"/>
  <c r="F18" i="1"/>
  <c r="F19" i="1"/>
  <c r="F21" i="1"/>
  <c r="C28" i="1" l="1"/>
  <c r="F20" i="1"/>
  <c r="C34" i="1" l="1"/>
  <c r="C29" i="1"/>
  <c r="C33" i="1"/>
  <c r="C30" i="1"/>
  <c r="A2" i="51"/>
  <c r="A2" i="56" s="1"/>
  <c r="C63" i="1" l="1"/>
  <c r="C53" i="1"/>
  <c r="C31" i="1"/>
  <c r="C43" i="1"/>
  <c r="C37" i="1"/>
  <c r="N25" i="3"/>
  <c r="C40" i="1" l="1"/>
  <c r="C50" i="1" s="1"/>
  <c r="C38" i="1"/>
  <c r="C46" i="1"/>
  <c r="C60" i="1" s="1"/>
  <c r="C66" i="1" s="1"/>
  <c r="C44" i="1"/>
  <c r="M25" i="3"/>
  <c r="L25" i="3"/>
  <c r="C70" i="1" l="1"/>
  <c r="C73" i="1" s="1"/>
  <c r="C56" i="1"/>
  <c r="B12" i="55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A3" i="55"/>
  <c r="A2" i="55"/>
  <c r="A1" i="55"/>
  <c r="E12" i="55" l="1"/>
  <c r="E13" i="55" s="1"/>
  <c r="E14" i="55" s="1"/>
  <c r="E15" i="55" s="1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A12" i="55" l="1"/>
  <c r="G11" i="55"/>
  <c r="A13" i="55" l="1"/>
  <c r="G12" i="55"/>
  <c r="G13" i="55" l="1"/>
  <c r="A14" i="55"/>
  <c r="G14" i="55" l="1"/>
  <c r="A15" i="55"/>
  <c r="A16" i="55" l="1"/>
  <c r="G15" i="55"/>
  <c r="A17" i="55" l="1"/>
  <c r="G16" i="55"/>
  <c r="A11" i="51"/>
  <c r="A12" i="51" s="1"/>
  <c r="A13" i="51" s="1"/>
  <c r="A14" i="51" s="1"/>
  <c r="A15" i="51" s="1"/>
  <c r="A16" i="51" s="1"/>
  <c r="A17" i="51" s="1"/>
  <c r="A18" i="51" s="1"/>
  <c r="A19" i="51" s="1"/>
  <c r="D11" i="51"/>
  <c r="D12" i="51" s="1"/>
  <c r="D13" i="51" s="1"/>
  <c r="D14" i="51" s="1"/>
  <c r="D15" i="51" s="1"/>
  <c r="D16" i="51" s="1"/>
  <c r="D17" i="51" s="1"/>
  <c r="D18" i="51" s="1"/>
  <c r="D19" i="51" s="1"/>
  <c r="G17" i="55" l="1"/>
  <c r="A18" i="55"/>
  <c r="G18" i="55" l="1"/>
  <c r="A19" i="55"/>
  <c r="D11" i="54"/>
  <c r="A11" i="54"/>
  <c r="A12" i="54" l="1"/>
  <c r="A13" i="54" s="1"/>
  <c r="A14" i="54" s="1"/>
  <c r="D12" i="54"/>
  <c r="D13" i="54" s="1"/>
  <c r="D14" i="54" s="1"/>
  <c r="A20" i="55"/>
  <c r="G19" i="55"/>
  <c r="A2" i="3"/>
  <c r="A3" i="3"/>
  <c r="A2" i="1"/>
  <c r="A3" i="1"/>
  <c r="A2" i="39"/>
  <c r="A3" i="39"/>
  <c r="A2" i="46"/>
  <c r="A3" i="46"/>
  <c r="A2" i="47"/>
  <c r="A3" i="47"/>
  <c r="A2" i="53"/>
  <c r="A3" i="53"/>
  <c r="D15" i="54" l="1"/>
  <c r="A15" i="54"/>
  <c r="A21" i="55"/>
  <c r="G20" i="55"/>
  <c r="G21" i="55" l="1"/>
  <c r="A22" i="55"/>
  <c r="A23" i="55" s="1"/>
  <c r="A24" i="55" l="1"/>
  <c r="G23" i="55"/>
  <c r="G22" i="55"/>
  <c r="A25" i="55" l="1"/>
  <c r="G24" i="55"/>
  <c r="A26" i="55" l="1"/>
  <c r="G25" i="55"/>
  <c r="G26" i="55" l="1"/>
  <c r="A27" i="55"/>
  <c r="A1" i="53"/>
  <c r="G27" i="55" l="1"/>
  <c r="A28" i="55"/>
  <c r="A11" i="47"/>
  <c r="A12" i="47" s="1"/>
  <c r="A13" i="47" s="1"/>
  <c r="A14" i="47" s="1"/>
  <c r="A15" i="47" s="1"/>
  <c r="A16" i="47" s="1"/>
  <c r="A11" i="46"/>
  <c r="A12" i="46" s="1"/>
  <c r="A13" i="46" s="1"/>
  <c r="A14" i="46" s="1"/>
  <c r="A15" i="46" s="1"/>
  <c r="A16" i="46" s="1"/>
  <c r="A17" i="46" s="1"/>
  <c r="G28" i="55" l="1"/>
  <c r="A29" i="55"/>
  <c r="A18" i="46"/>
  <c r="A19" i="46" s="1"/>
  <c r="A20" i="46" s="1"/>
  <c r="A21" i="46" s="1"/>
  <c r="A22" i="46" s="1"/>
  <c r="A23" i="46" s="1"/>
  <c r="A24" i="46" s="1"/>
  <c r="A25" i="46" s="1"/>
  <c r="A26" i="46" s="1"/>
  <c r="A17" i="47"/>
  <c r="A18" i="47" s="1"/>
  <c r="A19" i="47" s="1"/>
  <c r="A20" i="47" s="1"/>
  <c r="A21" i="47" s="1"/>
  <c r="A22" i="47" s="1"/>
  <c r="A23" i="47" s="1"/>
  <c r="A24" i="47" s="1"/>
  <c r="A25" i="47" s="1"/>
  <c r="A26" i="47" s="1"/>
  <c r="P12" i="3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G29" i="55" l="1"/>
  <c r="A30" i="55"/>
  <c r="E13" i="39"/>
  <c r="E14" i="39" s="1"/>
  <c r="E15" i="39" s="1"/>
  <c r="E16" i="39" s="1"/>
  <c r="E17" i="39" s="1"/>
  <c r="E18" i="39" s="1"/>
  <c r="K25" i="3"/>
  <c r="J25" i="3"/>
  <c r="I25" i="3"/>
  <c r="H25" i="3"/>
  <c r="G25" i="3"/>
  <c r="F25" i="3"/>
  <c r="E25" i="3"/>
  <c r="D25" i="3"/>
  <c r="C25" i="3"/>
  <c r="G30" i="55" l="1"/>
  <c r="A31" i="55"/>
  <c r="G31" i="55" s="1"/>
  <c r="E28" i="3"/>
  <c r="F28" i="3"/>
  <c r="G28" i="3"/>
  <c r="C28" i="3"/>
  <c r="D28" i="3"/>
  <c r="E19" i="39"/>
  <c r="E20" i="39" s="1"/>
  <c r="E21" i="39" s="1"/>
  <c r="E22" i="39" s="1"/>
  <c r="E23" i="39" s="1"/>
  <c r="E24" i="39" s="1"/>
  <c r="E25" i="39" s="1"/>
  <c r="F26" i="47"/>
  <c r="F24" i="46"/>
  <c r="B12" i="39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A1" i="1"/>
  <c r="A1" i="39"/>
  <c r="A1" i="3"/>
  <c r="A1" i="46"/>
  <c r="A1" i="47"/>
  <c r="G10" i="47"/>
  <c r="G11" i="47" s="1"/>
  <c r="G12" i="47" s="1"/>
  <c r="G13" i="47" s="1"/>
  <c r="G14" i="47" s="1"/>
  <c r="G15" i="47" s="1"/>
  <c r="G16" i="47" s="1"/>
  <c r="G17" i="47" s="1"/>
  <c r="G18" i="47" s="1"/>
  <c r="G10" i="46"/>
  <c r="G11" i="46" s="1"/>
  <c r="G12" i="46" s="1"/>
  <c r="G13" i="46" l="1"/>
  <c r="G14" i="46" s="1"/>
  <c r="G15" i="46" s="1"/>
  <c r="G16" i="46" s="1"/>
  <c r="G17" i="46" s="1"/>
  <c r="G18" i="46" s="1"/>
  <c r="G19" i="46" s="1"/>
  <c r="G20" i="46" s="1"/>
  <c r="G21" i="46" s="1"/>
  <c r="G22" i="46" s="1"/>
  <c r="G23" i="46" s="1"/>
  <c r="G24" i="46" s="1"/>
  <c r="G25" i="46" s="1"/>
  <c r="G26" i="46" s="1"/>
  <c r="G19" i="47"/>
  <c r="G20" i="47" s="1"/>
  <c r="G21" i="47" s="1"/>
  <c r="G22" i="47" s="1"/>
  <c r="G23" i="47" s="1"/>
  <c r="G24" i="47" s="1"/>
  <c r="G25" i="47" s="1"/>
  <c r="G26" i="47" s="1"/>
  <c r="F20" i="46"/>
  <c r="F24" i="47"/>
  <c r="F26" i="46"/>
  <c r="F20" i="47"/>
  <c r="F12" i="47"/>
  <c r="F12" i="46"/>
  <c r="G11" i="39" l="1"/>
  <c r="A12" i="39"/>
  <c r="G12" i="39" l="1"/>
  <c r="A13" i="39"/>
  <c r="A14" i="39" l="1"/>
  <c r="G13" i="39"/>
  <c r="G14" i="39" l="1"/>
  <c r="A15" i="39"/>
  <c r="G15" i="39" l="1"/>
  <c r="A16" i="39"/>
  <c r="A17" i="39" l="1"/>
  <c r="G16" i="39"/>
  <c r="A18" i="39" l="1"/>
  <c r="G17" i="39"/>
  <c r="G18" i="39" l="1"/>
  <c r="A19" i="39"/>
  <c r="G19" i="39" l="1"/>
  <c r="A20" i="39"/>
  <c r="G20" i="39" l="1"/>
  <c r="A21" i="39"/>
  <c r="G21" i="39" l="1"/>
  <c r="A22" i="39"/>
  <c r="A23" i="39" s="1"/>
  <c r="A24" i="39" l="1"/>
  <c r="G23" i="39"/>
  <c r="G22" i="39"/>
  <c r="A25" i="39" l="1"/>
  <c r="G24" i="39"/>
  <c r="A26" i="39" l="1"/>
  <c r="G25" i="39"/>
  <c r="A27" i="39" l="1"/>
  <c r="G26" i="39"/>
  <c r="F23" i="1"/>
  <c r="F22" i="1"/>
  <c r="F12" i="1"/>
  <c r="F24" i="1"/>
  <c r="A28" i="39" l="1"/>
  <c r="G27" i="39"/>
  <c r="F17" i="1"/>
  <c r="D25" i="1"/>
  <c r="E25" i="1"/>
  <c r="D28" i="1" l="1"/>
  <c r="E28" i="1"/>
  <c r="G28" i="39"/>
  <c r="A29" i="39"/>
  <c r="F25" i="1"/>
  <c r="E33" i="1" l="1"/>
  <c r="E29" i="1"/>
  <c r="E34" i="1"/>
  <c r="E30" i="1"/>
  <c r="D33" i="1"/>
  <c r="D29" i="1"/>
  <c r="D34" i="1"/>
  <c r="D30" i="1"/>
  <c r="F60" i="1"/>
  <c r="F50" i="1"/>
  <c r="F28" i="1"/>
  <c r="G29" i="39"/>
  <c r="A30" i="39"/>
  <c r="D63" i="1" l="1"/>
  <c r="D53" i="1"/>
  <c r="E63" i="1"/>
  <c r="E53" i="1"/>
  <c r="E43" i="1"/>
  <c r="E37" i="1"/>
  <c r="D43" i="1"/>
  <c r="D37" i="1"/>
  <c r="D31" i="1"/>
  <c r="E31" i="1"/>
  <c r="F34" i="1"/>
  <c r="F29" i="1"/>
  <c r="F33" i="1"/>
  <c r="F30" i="1"/>
  <c r="F70" i="1"/>
  <c r="A31" i="39"/>
  <c r="G31" i="39" s="1"/>
  <c r="G30" i="39"/>
  <c r="F63" i="1" l="1"/>
  <c r="F66" i="1" s="1"/>
  <c r="F53" i="1"/>
  <c r="F56" i="1" s="1"/>
  <c r="D38" i="1"/>
  <c r="D40" i="1"/>
  <c r="D50" i="1" s="1"/>
  <c r="D44" i="1"/>
  <c r="D46" i="1"/>
  <c r="D60" i="1" s="1"/>
  <c r="D66" i="1" s="1"/>
  <c r="E40" i="1"/>
  <c r="E50" i="1" s="1"/>
  <c r="E38" i="1"/>
  <c r="E46" i="1"/>
  <c r="E60" i="1" s="1"/>
  <c r="E66" i="1" s="1"/>
  <c r="E44" i="1"/>
  <c r="F31" i="1"/>
  <c r="F43" i="1"/>
  <c r="F37" i="1"/>
  <c r="F18" i="46"/>
  <c r="F73" i="1" l="1"/>
  <c r="D70" i="1"/>
  <c r="D73" i="1" s="1"/>
  <c r="D56" i="1"/>
  <c r="E56" i="1"/>
  <c r="E70" i="1"/>
  <c r="E73" i="1" s="1"/>
  <c r="F40" i="1"/>
  <c r="F38" i="1"/>
  <c r="F46" i="1"/>
  <c r="F44" i="1"/>
  <c r="F18" i="47"/>
  <c r="F11" i="55" l="1"/>
  <c r="F12" i="55" l="1"/>
  <c r="F13" i="55" l="1"/>
  <c r="F14" i="55" l="1"/>
  <c r="F15" i="55" l="1"/>
  <c r="C24" i="46" l="1"/>
  <c r="C24" i="47"/>
  <c r="F18" i="56" l="1"/>
  <c r="F23" i="56" l="1"/>
  <c r="F17" i="56"/>
  <c r="F16" i="56"/>
  <c r="F19" i="56"/>
  <c r="F13" i="56"/>
  <c r="D25" i="56"/>
  <c r="F22" i="56"/>
  <c r="F14" i="56"/>
  <c r="F20" i="56"/>
  <c r="F15" i="56"/>
  <c r="C25" i="56"/>
  <c r="F21" i="56"/>
  <c r="D28" i="56" l="1"/>
  <c r="D34" i="56" s="1"/>
  <c r="C28" i="56"/>
  <c r="D29" i="56" l="1"/>
  <c r="D33" i="56"/>
  <c r="D30" i="56"/>
  <c r="C34" i="56"/>
  <c r="C29" i="56"/>
  <c r="C33" i="56"/>
  <c r="C30" i="56"/>
  <c r="D37" i="56" l="1"/>
  <c r="D63" i="56"/>
  <c r="D53" i="56"/>
  <c r="C63" i="56"/>
  <c r="C53" i="56"/>
  <c r="D31" i="56"/>
  <c r="D43" i="56"/>
  <c r="D46" i="56" s="1"/>
  <c r="D60" i="56" s="1"/>
  <c r="C31" i="56"/>
  <c r="C43" i="56"/>
  <c r="C37" i="56"/>
  <c r="D38" i="56"/>
  <c r="D40" i="56"/>
  <c r="D50" i="56" s="1"/>
  <c r="D44" i="56" l="1"/>
  <c r="C40" i="56"/>
  <c r="C50" i="56" s="1"/>
  <c r="C38" i="56"/>
  <c r="C44" i="56"/>
  <c r="C46" i="56"/>
  <c r="C60" i="56" s="1"/>
  <c r="D56" i="56"/>
  <c r="D70" i="56"/>
  <c r="D73" i="56" s="1"/>
  <c r="D66" i="56"/>
  <c r="C66" i="56" l="1"/>
  <c r="O30" i="3" s="1"/>
  <c r="O31" i="3" s="1"/>
  <c r="C70" i="56"/>
  <c r="C73" i="56" s="1"/>
  <c r="C56" i="56"/>
  <c r="O27" i="3" s="1"/>
  <c r="O28" i="3" s="1"/>
  <c r="F24" i="56" l="1"/>
  <c r="E25" i="56" l="1"/>
  <c r="F12" i="56"/>
  <c r="F25" i="56" s="1"/>
  <c r="F60" i="56" l="1"/>
  <c r="F28" i="56"/>
  <c r="F50" i="56"/>
  <c r="E28" i="56"/>
  <c r="F70" i="56" l="1"/>
  <c r="E30" i="56"/>
  <c r="E33" i="56"/>
  <c r="E34" i="56"/>
  <c r="E29" i="56"/>
  <c r="F30" i="56"/>
  <c r="F34" i="56"/>
  <c r="F29" i="56"/>
  <c r="F33" i="56"/>
  <c r="E63" i="56" l="1"/>
  <c r="E53" i="56"/>
  <c r="F63" i="56"/>
  <c r="F66" i="56" s="1"/>
  <c r="F53" i="56"/>
  <c r="F56" i="56" s="1"/>
  <c r="E31" i="56"/>
  <c r="F31" i="56"/>
  <c r="F43" i="56"/>
  <c r="F37" i="56"/>
  <c r="E43" i="56"/>
  <c r="E37" i="56"/>
  <c r="F73" i="56" l="1"/>
  <c r="F46" i="56"/>
  <c r="F44" i="56"/>
  <c r="E40" i="56"/>
  <c r="E50" i="56" s="1"/>
  <c r="E38" i="56"/>
  <c r="E44" i="56"/>
  <c r="E46" i="56"/>
  <c r="E60" i="56" s="1"/>
  <c r="F40" i="56"/>
  <c r="F38" i="56"/>
  <c r="E66" i="56" l="1"/>
  <c r="E70" i="56"/>
  <c r="E73" i="56" s="1"/>
  <c r="E56" i="56"/>
  <c r="N31" i="3" l="1"/>
  <c r="M31" i="3"/>
  <c r="L31" i="3"/>
  <c r="M28" i="3" l="1"/>
  <c r="L28" i="3"/>
  <c r="N28" i="3"/>
  <c r="K31" i="3" l="1"/>
  <c r="I31" i="3"/>
  <c r="E31" i="3"/>
  <c r="G31" i="3"/>
  <c r="J31" i="3"/>
  <c r="H31" i="3"/>
  <c r="F31" i="3"/>
  <c r="C31" i="3"/>
  <c r="F11" i="39" s="1"/>
  <c r="D31" i="3"/>
  <c r="F12" i="39" l="1"/>
  <c r="F13" i="39" s="1"/>
  <c r="F14" i="39" s="1"/>
  <c r="F15" i="39" s="1"/>
  <c r="F16" i="39" s="1"/>
  <c r="F17" i="39" s="1"/>
  <c r="F18" i="39" s="1"/>
  <c r="F19" i="39" s="1"/>
  <c r="F20" i="39" s="1"/>
  <c r="F21" i="39" s="1"/>
  <c r="F22" i="39" s="1"/>
  <c r="F23" i="39" s="1"/>
  <c r="F24" i="39" s="1"/>
  <c r="F25" i="39" s="1"/>
  <c r="E31" i="39" s="1"/>
  <c r="C10" i="46" s="1"/>
  <c r="H28" i="3"/>
  <c r="F16" i="55" s="1"/>
  <c r="K28" i="3"/>
  <c r="J28" i="3"/>
  <c r="I28" i="3"/>
  <c r="F17" i="55" s="1"/>
  <c r="C14" i="46" l="1"/>
  <c r="C12" i="46"/>
  <c r="F18" i="55"/>
  <c r="F19" i="55" s="1"/>
  <c r="F20" i="55" s="1"/>
  <c r="F21" i="55" s="1"/>
  <c r="F22" i="55" s="1"/>
  <c r="F23" i="55" s="1"/>
  <c r="F24" i="55" s="1"/>
  <c r="F25" i="55" s="1"/>
  <c r="E31" i="55" s="1"/>
  <c r="C10" i="47" s="1"/>
  <c r="C12" i="47" l="1"/>
  <c r="C16" i="47" s="1"/>
  <c r="C18" i="47" s="1"/>
  <c r="C20" i="47" s="1"/>
  <c r="C26" i="47" s="1"/>
  <c r="C12" i="51" s="1"/>
  <c r="C14" i="47"/>
  <c r="C16" i="46"/>
  <c r="C18" i="46" s="1"/>
  <c r="C20" i="46" s="1"/>
  <c r="C26" i="46" s="1"/>
  <c r="C18" i="51" s="1"/>
</calcChain>
</file>

<file path=xl/sharedStrings.xml><?xml version="1.0" encoding="utf-8"?>
<sst xmlns="http://schemas.openxmlformats.org/spreadsheetml/2006/main" count="366" uniqueCount="196">
  <si>
    <t>Category</t>
  </si>
  <si>
    <t>Total</t>
  </si>
  <si>
    <t>Substation-Related Demand Costs</t>
  </si>
  <si>
    <t>(A)</t>
  </si>
  <si>
    <t>(B)</t>
  </si>
  <si>
    <t>(D)</t>
  </si>
  <si>
    <t>(C)</t>
  </si>
  <si>
    <t xml:space="preserve">  360  Land and Land Rights</t>
  </si>
  <si>
    <t xml:space="preserve">  362  Station Equipment</t>
  </si>
  <si>
    <t xml:space="preserve">  364  Poles, Towers, and Fixtures</t>
  </si>
  <si>
    <t xml:space="preserve">  365  Overhead Conductors and Devices</t>
  </si>
  <si>
    <t xml:space="preserve">  366  Underground Conduit</t>
  </si>
  <si>
    <t xml:space="preserve">  367  Underground Conductors and Devices</t>
  </si>
  <si>
    <t xml:space="preserve">  368  Line Transformers</t>
  </si>
  <si>
    <t xml:space="preserve">  369  Services</t>
  </si>
  <si>
    <t xml:space="preserve">  370  Meters</t>
  </si>
  <si>
    <t xml:space="preserve">  371  Installations on Customer Premises</t>
  </si>
  <si>
    <t xml:space="preserve">  373  Streetlighting and Signal Systems</t>
  </si>
  <si>
    <t xml:space="preserve">  361  Structures and Improvements</t>
  </si>
  <si>
    <t>Line</t>
  </si>
  <si>
    <t>Year</t>
  </si>
  <si>
    <t>Description</t>
  </si>
  <si>
    <t>Units</t>
  </si>
  <si>
    <t>Source</t>
  </si>
  <si>
    <t xml:space="preserve">  $/kW</t>
  </si>
  <si>
    <t xml:space="preserve">  $/kW/Yr</t>
  </si>
  <si>
    <t>O&amp;M Workpapers</t>
  </si>
  <si>
    <t>3 Yr Avg</t>
  </si>
  <si>
    <t>Escalation  Factors</t>
  </si>
  <si>
    <t>Substations</t>
  </si>
  <si>
    <t>Normalized Load</t>
  </si>
  <si>
    <t>Incremental Load</t>
  </si>
  <si>
    <t>Factor</t>
  </si>
  <si>
    <t>Factors</t>
  </si>
  <si>
    <t>Value</t>
  </si>
  <si>
    <t xml:space="preserve">   NERA Regression Method</t>
  </si>
  <si>
    <t>Feeders and Local Distribution Demand Costs ($/kW/Yr)</t>
  </si>
  <si>
    <t>Substation Distribution Demand Costs ($/kW/Yr)</t>
  </si>
  <si>
    <t>Distribution Investment</t>
  </si>
  <si>
    <t xml:space="preserve">  General Plant Loading</t>
  </si>
  <si>
    <t xml:space="preserve">Subtotal Distribution Investment </t>
  </si>
  <si>
    <t xml:space="preserve">RECC Annualized Investment </t>
  </si>
  <si>
    <t xml:space="preserve">   A&amp;G Loading Applicable to Plant Loading</t>
  </si>
  <si>
    <t xml:space="preserve">  Fixed O&amp;M Overhead Cost</t>
  </si>
  <si>
    <t xml:space="preserve">  A&amp;G on Fixed O&amp;M Loading</t>
  </si>
  <si>
    <t>Escalated Total Annual Unit Investment Cost</t>
  </si>
  <si>
    <t>L1 x Factor</t>
  </si>
  <si>
    <t>L1 + L2 + L3</t>
  </si>
  <si>
    <t>L4 x Factor</t>
  </si>
  <si>
    <t>L5 x Factor</t>
  </si>
  <si>
    <t>L7 x Factor</t>
  </si>
  <si>
    <t>(L5+L6)*Factor+L7+L8</t>
  </si>
  <si>
    <t xml:space="preserve">Feeders &amp; Local Distribution </t>
  </si>
  <si>
    <t>GRC Escalators</t>
  </si>
  <si>
    <t>Substation RECC =</t>
  </si>
  <si>
    <t>A&amp;G Plant Loading Factor =</t>
  </si>
  <si>
    <t>Inputs</t>
  </si>
  <si>
    <t>A&amp;G O&amp;M Loading Factor =</t>
  </si>
  <si>
    <t>General Plant Loading Factor =</t>
  </si>
  <si>
    <t xml:space="preserve">  363  Battery Storage Equipment</t>
  </si>
  <si>
    <t>Marginal Distribution Demand Summary</t>
  </si>
  <si>
    <t>Total Substation Costs</t>
  </si>
  <si>
    <t>Historical Distribution Plant</t>
  </si>
  <si>
    <t>Feeders &amp; Local Distribution ($000)</t>
  </si>
  <si>
    <t>Substations ($000)</t>
  </si>
  <si>
    <t>NERA Regression Method</t>
  </si>
  <si>
    <t>Tab Descriptions</t>
  </si>
  <si>
    <t>No.</t>
  </si>
  <si>
    <t>Tab Name</t>
  </si>
  <si>
    <t>Tab Description</t>
  </si>
  <si>
    <t>Description of Tabs in Workpaper</t>
  </si>
  <si>
    <t>Marginal Distribution Demand Cost Summary</t>
  </si>
  <si>
    <t>Marg F&amp;LD Costs</t>
  </si>
  <si>
    <t>Marginal Distribution Feeder and Local Distribution Demand Costs</t>
  </si>
  <si>
    <t>Marg Substation Costs</t>
  </si>
  <si>
    <t>Marginal Substation Distribution Demand Costs</t>
  </si>
  <si>
    <t>Distrib Capital Forecast Data</t>
  </si>
  <si>
    <t>Distrib Capital Historical Data</t>
  </si>
  <si>
    <t>Marg Distrib Demand Cost Sum</t>
  </si>
  <si>
    <t>Note:</t>
  </si>
  <si>
    <t xml:space="preserve">     Distribution investments.</t>
  </si>
  <si>
    <t>(2) The values may not equal the sum or product of the calculation shown due to rounding.</t>
  </si>
  <si>
    <t xml:space="preserve">     investments.</t>
  </si>
  <si>
    <t>Forecasted Distribution Plant</t>
  </si>
  <si>
    <t>Loading Factors, Working Capital, and RECCs</t>
  </si>
  <si>
    <t>Feeders &amp; Local Distrib RECC =</t>
  </si>
  <si>
    <t>(3) Input data in blue font comes from a separate source file.</t>
  </si>
  <si>
    <t>Marginal Substation Cost Calculations for NERA Regression Method</t>
  </si>
  <si>
    <t>Marginal Feeders &amp; Local Distribution Cost Calculations for NERA Regression Method</t>
  </si>
  <si>
    <r>
      <t xml:space="preserve">(2) </t>
    </r>
    <r>
      <rPr>
        <b/>
        <sz val="10"/>
        <rFont val="Arial"/>
        <family val="2"/>
      </rPr>
      <t>Normalized Load</t>
    </r>
    <r>
      <rPr>
        <sz val="10"/>
        <rFont val="Arial"/>
        <family val="2"/>
      </rPr>
      <t>: reflects weather normalized SDG&amp;E distribution planning forecasted</t>
    </r>
  </si>
  <si>
    <t>(2) Normalized Load: reflects weather normalized SDG&amp;E distribution planning forecasted</t>
  </si>
  <si>
    <t xml:space="preserve">     circuit loads.</t>
  </si>
  <si>
    <t xml:space="preserve">     substation loads.</t>
  </si>
  <si>
    <t>2017-2019 Electric Distribution Capital Forecast Costs</t>
  </si>
  <si>
    <t xml:space="preserve">      SDG&amp;E witness Alan Colton, Exhibit SDG&amp;E-14, Appendix A, in SDG&amp;E's TY 2019 GRC Phase 1 (A.17-10-007).</t>
  </si>
  <si>
    <r>
      <t xml:space="preserve">(1) </t>
    </r>
    <r>
      <rPr>
        <b/>
        <sz val="10"/>
        <rFont val="Arial"/>
        <family val="2"/>
      </rPr>
      <t>Escalation Factors</t>
    </r>
    <r>
      <rPr>
        <sz val="10"/>
        <rFont val="Arial"/>
        <family val="2"/>
      </rPr>
      <t>: are from the Direct Testimony of Scott R. Wilder, Exhibit SDG&amp;E-39, in</t>
    </r>
  </si>
  <si>
    <t xml:space="preserve">     SDG&amp;E's TY 2019 GRC Phase 1 (A.17-10-007).</t>
  </si>
  <si>
    <t xml:space="preserve">     in SDG&amp;E's TY 2019 GRC Phase 1 (A.17-10-007).</t>
  </si>
  <si>
    <t>2020 Distrib Plant Escalator =</t>
  </si>
  <si>
    <t xml:space="preserve">     GRC Phase 1 (A.17-10-007).</t>
  </si>
  <si>
    <t>SDG&amp;E 2017-2019 Forecasted Distribution Plant Costs ($000) from SDG&amp;E's TY 2019 GRC Phase 1 (A.17-10-007)</t>
  </si>
  <si>
    <t>2005-2017 Electric Distribution Capital Historical Costs</t>
  </si>
  <si>
    <t>Unit Feeders and Local Distribution Marginal Distribution Demand Costs (2020$)</t>
  </si>
  <si>
    <t>Unit Substation Marginal Distribution Demand Costs (2020$)</t>
  </si>
  <si>
    <t>Working Capital =</t>
  </si>
  <si>
    <r>
      <t xml:space="preserve">(5) </t>
    </r>
    <r>
      <rPr>
        <b/>
        <sz val="10"/>
        <rFont val="Arial"/>
        <family val="2"/>
      </rPr>
      <t>Substation RECC</t>
    </r>
    <r>
      <rPr>
        <sz val="10"/>
        <rFont val="Arial"/>
        <family val="2"/>
      </rPr>
      <t>: represents the calculated annual investment amounts for substation assets.</t>
    </r>
  </si>
  <si>
    <r>
      <t xml:space="preserve">(6) </t>
    </r>
    <r>
      <rPr>
        <b/>
        <sz val="10"/>
        <rFont val="Arial"/>
        <family val="2"/>
      </rPr>
      <t>Feeders &amp; Local Distrib RECC</t>
    </r>
    <r>
      <rPr>
        <sz val="10"/>
        <rFont val="Arial"/>
        <family val="2"/>
      </rPr>
      <t>: represents the calculated annual investment amounts for feeder &amp; local distribution assets.</t>
    </r>
  </si>
  <si>
    <r>
      <t xml:space="preserve">(7) </t>
    </r>
    <r>
      <rPr>
        <b/>
        <sz val="10"/>
        <rFont val="Arial"/>
        <family val="2"/>
      </rPr>
      <t>2020 Distrib Plant Escalator</t>
    </r>
    <r>
      <rPr>
        <sz val="10"/>
        <rFont val="Arial"/>
        <family val="2"/>
      </rPr>
      <t>: from the Direct Testimony workpapers of SDG&amp;E witness Scott R. Wilder, Exhibit SDG&amp;E-39, in SDG&amp;E's TY 2019</t>
    </r>
  </si>
  <si>
    <t xml:space="preserve">  Working Capital Loading</t>
  </si>
  <si>
    <t>L1 + L2 + L5</t>
  </si>
  <si>
    <t xml:space="preserve">Total Capacity-Related Costs </t>
  </si>
  <si>
    <t xml:space="preserve">      Costs" (capacity costs for Feeder &amp; Local Distribution and Substation) by the Total Costs less Customer Costs.</t>
  </si>
  <si>
    <t>(5) Input data in blue font comes from a separate source file.</t>
  </si>
  <si>
    <t>SDG&amp;E 2005-2017 Historical Distribution Plant Costs ($000)</t>
  </si>
  <si>
    <t>(E)</t>
  </si>
  <si>
    <t>=Regression Slope of Col (E) vs Col (D)</t>
  </si>
  <si>
    <t>(8) Input data in blue font comes from a separate source file.</t>
  </si>
  <si>
    <t>Marg F&amp;LD Cost Cal</t>
  </si>
  <si>
    <t>Marg Substation Cost Cal</t>
  </si>
  <si>
    <t>Marginal Substation Distribution Demand Cost Calculation based on NERA Regression Method</t>
  </si>
  <si>
    <r>
      <t xml:space="preserve">(1) </t>
    </r>
    <r>
      <rPr>
        <b/>
        <sz val="10"/>
        <rFont val="Arial"/>
        <family val="2"/>
      </rPr>
      <t>Historical Distribution Plant</t>
    </r>
    <r>
      <rPr>
        <sz val="10"/>
        <rFont val="Arial"/>
        <family val="2"/>
      </rPr>
      <t>: from SDG&amp;E's 2005-2017 Federal Energy Commission (FERC) Form 1 reports.</t>
    </r>
  </si>
  <si>
    <t>NERA Regression Method (2017 $/kW/Yr)</t>
  </si>
  <si>
    <t>SAN DIEGO GAS &amp; ELECTRIC COMPANY ("SDG&amp;E")</t>
  </si>
  <si>
    <t>Loading Factor, Real Economic Carrying Charge ("RECC"), and Escalation Inputs used in Workpaper</t>
  </si>
  <si>
    <t>Marginal Distribution Feeder and Local Distribution Demand Cost Calculation based on National Economic Research Associates ("NERA") Regression Method</t>
  </si>
  <si>
    <t>TEST YEAR ("TY") 2019 GENERAL RATE CASE ("GRC") PHASE 2, APPLICATION ("A.") 19-03-002</t>
  </si>
  <si>
    <t>SDG&amp;E 2017-2019 ACTUAL DISTRIBUTION PLAN COSTS ($000) FROM SDG&amp;E SPENDING ACCOUTABILITY REPORTS</t>
  </si>
  <si>
    <t>Easement Allocation Calculation</t>
  </si>
  <si>
    <t>Overhead Pool Allocation Calculation</t>
  </si>
  <si>
    <t>Overhead Pool-Substation Allocation Calculation</t>
  </si>
  <si>
    <t>Allocation Factor: (L2) / (L14 - L13 - L2)</t>
  </si>
  <si>
    <t>(L3 + L22 + L29)</t>
  </si>
  <si>
    <t>L4 + L23 + L35</t>
  </si>
  <si>
    <t>Total Distribution Capacity-Related Costs</t>
  </si>
  <si>
    <t>Substation Capacity-Related Costs</t>
  </si>
  <si>
    <t>FLD Capacity-Related Costs</t>
  </si>
  <si>
    <t>Total FLD Costs</t>
  </si>
  <si>
    <t>FLD Capacity-Related Costs as % of Total FLD Costs</t>
  </si>
  <si>
    <t xml:space="preserve">  (L39 / L42)</t>
  </si>
  <si>
    <t>Substation Capacity-Related Costs as % of Total Substation Costs</t>
  </si>
  <si>
    <t>(L49 / L52)</t>
  </si>
  <si>
    <t>(L39 + L49)</t>
  </si>
  <si>
    <t>Total Distribution Capacity-Related Costs as % of Total FLD and Substation Costs</t>
  </si>
  <si>
    <t>(L59 / (L42 + L52)</t>
  </si>
  <si>
    <t>Total Feder &amp; Local Distribution ("FLD") Related Portion: (L17) * (L14 - L2 - L4 - L6 - L12 - L13)</t>
  </si>
  <si>
    <t>Total Substation Related Portion: (L17) x (L4 + L6 + L12)</t>
  </si>
  <si>
    <t>FLD Capacity-Related Portion of Easement Costs: (L17) x (L3)</t>
  </si>
  <si>
    <t>Substation Capacity-Related Portion of Easement Costs: (L17) x (L4)</t>
  </si>
  <si>
    <t>Allocation Factor: (L11) / (L14 - L4 - L6 - L11 - L12 - L13 - L19)</t>
  </si>
  <si>
    <t>FLD Capacity-Related Portion of Overhead Pool Costs: (L26) x (L3)</t>
  </si>
  <si>
    <t>Allocation Factor: (L12) / (L4 + L6 + L19)</t>
  </si>
  <si>
    <t>Substation Capacity-Related Portion of Overhead Pool-Substation Costs: (L32) x (L4)</t>
  </si>
  <si>
    <t xml:space="preserve">  (L14 - L4 - L6 - L12 - L13 - L19)</t>
  </si>
  <si>
    <t xml:space="preserve">  L4 + L6 + L12 + L19</t>
  </si>
  <si>
    <t>MARGINAL DISTRIBUTION DEMAND COST WORKPAPER - CHAPTER 5 (SAXE) - REBUTTAL</t>
  </si>
  <si>
    <t>Distrib Capital Actual Data</t>
  </si>
  <si>
    <t>2017-2019 Electric Distribution Capital Actual Costs</t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</si>
  <si>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three-year average (2016-2018) of fixed O&amp;M costs associated with Feeder &amp; Local 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</si>
  <si>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three-year average (2016-2018) of fixed O&amp;M costs associated with Substation </t>
    </r>
  </si>
  <si>
    <t>Capacity Factors for Feeder &amp; Local Distribution Demand Costs</t>
  </si>
  <si>
    <t>Capacity-Related Feeder &amp; Local Distribution Demand Costs</t>
  </si>
  <si>
    <t>Capacity Factors for Substation Demand Costs</t>
  </si>
  <si>
    <t>(4) Input data in blue font comes from a separate source file.</t>
  </si>
  <si>
    <t xml:space="preserve">     (A.15-04-012) forecasted costs for years 2014-2016; (c) 2012 GRC Phase 2 (A.11-10-002) forecasted costs for years 2010-2013; and (d) 2008 GRC Phase 2 (A.07-01-047) forecasted costs for years 2005-2009.</t>
  </si>
  <si>
    <r>
      <t xml:space="preserve">(2) </t>
    </r>
    <r>
      <rPr>
        <b/>
        <sz val="10"/>
        <rFont val="Arial"/>
        <family val="2"/>
      </rPr>
      <t>Capacity Factors for Feeder &amp; Local Distribution Demand Costs</t>
    </r>
    <r>
      <rPr>
        <sz val="10"/>
        <rFont val="Arial"/>
        <family val="2"/>
      </rPr>
      <t xml:space="preserve">: capacity factors based on costs in each applicable period: (a) 2019 GRC Phase 2 (A.19-03-002) actual costs for year 2017; (b) 2016 GRC Phase 2 </t>
    </r>
  </si>
  <si>
    <r>
      <t xml:space="preserve">(3) </t>
    </r>
    <r>
      <rPr>
        <b/>
        <sz val="10"/>
        <rFont val="Arial"/>
        <family val="2"/>
      </rPr>
      <t>Capacity Factors for Substation Costs</t>
    </r>
    <r>
      <rPr>
        <sz val="10"/>
        <rFont val="Arial"/>
        <family val="2"/>
      </rPr>
      <t xml:space="preserve">: capacity factors based on costs in each applicable period: (a) 2019 GRC Phase 2 (A.19-03-002) actual costs for year 2017; (b) 2016 GRC Phase 2 (A.15-04-012) </t>
    </r>
  </si>
  <si>
    <t xml:space="preserve">     forecasted costs for years 2014-2016; and (c) 2012 GRC Phase 2 (A.11-10-002) forecasted costs for years 2005-2013.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</si>
  <si>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three-year average (2016-2018) of SDG&amp;E plant expenses.</t>
    </r>
  </si>
  <si>
    <r>
      <t xml:space="preserve">(2) </t>
    </r>
    <r>
      <rPr>
        <b/>
        <sz val="10"/>
        <rFont val="Arial"/>
        <family val="2"/>
      </rPr>
      <t>Working Capital</t>
    </r>
    <r>
      <rPr>
        <sz val="10"/>
        <rFont val="Arial"/>
        <family val="2"/>
      </rPr>
      <t>: is the average net working capital loading factor based on expenses from SDG&amp;E's recent two GRC Phase 1 proceedings (TY 2019</t>
    </r>
  </si>
  <si>
    <t xml:space="preserve">     GRC Phase 1 (A.17-10-007) and TY 2016 GRC Phase 1 (A.14-11-003).</t>
  </si>
  <si>
    <r>
      <t xml:space="preserve">(3) </t>
    </r>
    <r>
      <rPr>
        <b/>
        <sz val="10"/>
        <rFont val="Arial"/>
        <family val="2"/>
      </rPr>
      <t>A&amp;G O&amp;M Loading Factor</t>
    </r>
    <r>
      <rPr>
        <sz val="10"/>
        <rFont val="Arial"/>
        <family val="2"/>
      </rPr>
      <t>: based on three-year average (2016-2018) of administrative and general expenses associated with distribution O&amp;M.</t>
    </r>
  </si>
  <si>
    <r>
      <t xml:space="preserve">(4) </t>
    </r>
    <r>
      <rPr>
        <b/>
        <sz val="10"/>
        <rFont val="Arial"/>
        <family val="2"/>
      </rPr>
      <t>A&amp;G Plant Loading Factor</t>
    </r>
    <r>
      <rPr>
        <sz val="10"/>
        <rFont val="Arial"/>
        <family val="2"/>
      </rPr>
      <t>: based on three-year average (2016-2018) of administrative and general expenses associated with distribution plant.</t>
    </r>
  </si>
  <si>
    <r>
      <t xml:space="preserve">(1) </t>
    </r>
    <r>
      <rPr>
        <b/>
        <sz val="10"/>
        <rFont val="Arial"/>
        <family val="2"/>
      </rPr>
      <t>Forecasted Distribution Plant Data</t>
    </r>
    <r>
      <rPr>
        <sz val="10"/>
        <rFont val="Arial"/>
        <family val="2"/>
      </rPr>
      <t xml:space="preserve">: based on the Distribution Capital Budget Forecasts in the Revised Direct Testimony of </t>
    </r>
  </si>
  <si>
    <r>
      <t xml:space="preserve">(4) </t>
    </r>
    <r>
      <rPr>
        <b/>
        <sz val="10"/>
        <rFont val="Arial"/>
        <family val="2"/>
      </rPr>
      <t>Total Capacity-Related Substation Costs as % of Above</t>
    </r>
    <r>
      <rPr>
        <sz val="10"/>
        <rFont val="Arial"/>
        <family val="2"/>
      </rPr>
      <t>: percentage calculated by dividing the "Total Capacity-Related</t>
    </r>
  </si>
  <si>
    <t xml:space="preserve">      over the "Total FLD Costs".</t>
  </si>
  <si>
    <r>
      <t xml:space="preserve">(2) </t>
    </r>
    <r>
      <rPr>
        <b/>
        <sz val="10"/>
        <rFont val="Arial"/>
        <family val="2"/>
      </rPr>
      <t>FLD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Capacity-Related Costs as % Total FLD Costs</t>
    </r>
    <r>
      <rPr>
        <sz val="10"/>
        <rFont val="Arial"/>
        <family val="2"/>
      </rPr>
      <t>: percentage calculated by dividing the "FLD Capacity-Related Costs"</t>
    </r>
  </si>
  <si>
    <t xml:space="preserve">      over the "Total Substation Costs".</t>
  </si>
  <si>
    <t>Actual Distribution Plant</t>
  </si>
  <si>
    <r>
      <t xml:space="preserve">(1) </t>
    </r>
    <r>
      <rPr>
        <b/>
        <sz val="10"/>
        <rFont val="Arial"/>
        <family val="2"/>
      </rPr>
      <t>Actual Distribution Plant Data</t>
    </r>
    <r>
      <rPr>
        <sz val="10"/>
        <rFont val="Arial"/>
        <family val="2"/>
      </rPr>
      <t>: based on SDG&amp;E Distribution Capital Budget Actual Expenditures.</t>
    </r>
  </si>
  <si>
    <r>
      <t>(3)</t>
    </r>
    <r>
      <rPr>
        <b/>
        <sz val="10"/>
        <rFont val="Arial"/>
        <family val="2"/>
      </rPr>
      <t xml:space="preserve"> Substation Capacity-Related Costs as % of Total Substation Costs</t>
    </r>
    <r>
      <rPr>
        <sz val="10"/>
        <rFont val="Arial"/>
        <family val="2"/>
      </rPr>
      <t>: percentage calculated by dividing the "Substation Capacity-Related Costs"</t>
    </r>
  </si>
  <si>
    <r>
      <t xml:space="preserve">(3) </t>
    </r>
    <r>
      <rPr>
        <b/>
        <sz val="10"/>
        <rFont val="Arial"/>
        <family val="2"/>
      </rPr>
      <t>Substation Capacity-Related Costs as % of Total Substation Costs</t>
    </r>
    <r>
      <rPr>
        <sz val="10"/>
        <rFont val="Arial"/>
        <family val="2"/>
      </rPr>
      <t>: percentage calculated by dividing the "Substation Capacity-Related Costs"</t>
    </r>
  </si>
  <si>
    <t>New Business - Demand</t>
  </si>
  <si>
    <t>Easements</t>
  </si>
  <si>
    <t>Capacity</t>
  </si>
  <si>
    <t>Capacity-Substation</t>
  </si>
  <si>
    <t>Reliability</t>
  </si>
  <si>
    <t>Reliability-Substation</t>
  </si>
  <si>
    <t>Franchise</t>
  </si>
  <si>
    <t>Safety and Risk Management</t>
  </si>
  <si>
    <t>Mandated</t>
  </si>
  <si>
    <t>Miscellaneous</t>
  </si>
  <si>
    <t>Overhead Pools</t>
  </si>
  <si>
    <t>Overhead Pools-Substation</t>
  </si>
  <si>
    <t>New Business - Customer</t>
  </si>
  <si>
    <t>Total FLD Related Portion: (L42) * (L14 - L4 - L6 - L11 - L12 - L13 - L19)</t>
  </si>
  <si>
    <t>Total FLD Related Portion: (L32) * (L4 + L6 + L19)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</si>
</sst>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_(* #,##0.0000_);_(* \(#,##0.0000\);_(* &quot;-&quot;??_);_(@_)"/>
    <numFmt numFmtId="168" formatCode="_(* #,##0_);_(* \(#,##0\);_(* &quot;-&quot;??_);_(@_)"/>
    <numFmt numFmtId="169" formatCode="0.000000"/>
    <numFmt numFmtId="170" formatCode="0.0000"/>
    <numFmt numFmtId="171" formatCode="_(&quot;$&quot;* #,##0_);_(&quot;$&quot;* \(#,##0\);_(&quot;$&quot;* &quot;-&quot;??_);_(@_)"/>
    <numFmt numFmtId="172" formatCode="0.0000%"/>
  </numFmts>
  <fonts count="1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2"/>
      <color indexed="8"/>
      <name val="Arial MT"/>
      <family val="2"/>
    </font>
    <font>
      <sz val="12"/>
      <name val="Arial"/>
      <family val="2"/>
    </font>
    <font>
      <b/>
      <sz val="12"/>
      <color rgb="FF0000FF"/>
      <name val="Arial"/>
      <family val="2"/>
    </font>
    <font>
      <b/>
      <sz val="10"/>
      <color rgb="FF0000FF"/>
      <name val="Arial"/>
      <family val="2"/>
    </font>
    <font>
      <sz val="12"/>
      <color rgb="FF0000FF"/>
      <name val="Arial"/>
      <family val="2"/>
    </font>
    <font>
      <sz val="10"/>
      <color indexed="8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40" fontId="5" fillId="0" borderId="0" xfId="0" applyNumberFormat="1" applyFont="1"/>
    <xf numFmtId="40" fontId="5" fillId="0" borderId="0" xfId="0" applyNumberFormat="1" applyFont="1" applyBorder="1"/>
    <xf numFmtId="0" fontId="5" fillId="0" borderId="2" xfId="0" applyFont="1" applyBorder="1"/>
    <xf numFmtId="40" fontId="5" fillId="0" borderId="3" xfId="0" applyNumberFormat="1" applyFont="1" applyFill="1" applyBorder="1"/>
    <xf numFmtId="0" fontId="5" fillId="0" borderId="3" xfId="0" applyFont="1" applyBorder="1" applyAlignment="1">
      <alignment horizontal="left"/>
    </xf>
    <xf numFmtId="4" fontId="5" fillId="0" borderId="0" xfId="0" applyNumberFormat="1" applyFont="1"/>
    <xf numFmtId="9" fontId="5" fillId="0" borderId="0" xfId="6" applyFont="1"/>
    <xf numFmtId="40" fontId="5" fillId="0" borderId="3" xfId="0" applyNumberFormat="1" applyFont="1" applyBorder="1"/>
    <xf numFmtId="166" fontId="5" fillId="0" borderId="3" xfId="3" applyNumberFormat="1" applyFont="1" applyBorder="1" applyAlignment="1">
      <alignment horizontal="right"/>
    </xf>
    <xf numFmtId="166" fontId="5" fillId="0" borderId="3" xfId="3" applyNumberFormat="1" applyFont="1" applyFill="1" applyBorder="1" applyAlignment="1">
      <alignment horizontal="right"/>
    </xf>
    <xf numFmtId="166" fontId="5" fillId="0" borderId="6" xfId="3" applyNumberFormat="1" applyFont="1" applyFill="1" applyBorder="1" applyAlignment="1">
      <alignment horizontal="right"/>
    </xf>
    <xf numFmtId="0" fontId="5" fillId="0" borderId="0" xfId="0" applyFont="1" applyFill="1" applyBorder="1"/>
    <xf numFmtId="166" fontId="5" fillId="0" borderId="0" xfId="3" applyNumberFormat="1" applyFont="1" applyFill="1" applyBorder="1" applyAlignment="1">
      <alignment horizontal="right"/>
    </xf>
    <xf numFmtId="0" fontId="5" fillId="0" borderId="6" xfId="0" applyFont="1" applyFill="1" applyBorder="1"/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5" fillId="0" borderId="3" xfId="0" applyFont="1" applyBorder="1"/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/>
    <xf numFmtId="40" fontId="5" fillId="0" borderId="6" xfId="0" applyNumberFormat="1" applyFont="1" applyBorder="1"/>
    <xf numFmtId="0" fontId="5" fillId="0" borderId="6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4" fillId="0" borderId="0" xfId="0" applyFont="1"/>
    <xf numFmtId="171" fontId="4" fillId="0" borderId="0" xfId="3" applyNumberFormat="1" applyFont="1"/>
    <xf numFmtId="0" fontId="4" fillId="0" borderId="0" xfId="0" applyFont="1" applyFill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4" xfId="0" applyFont="1" applyFill="1" applyBorder="1"/>
    <xf numFmtId="0" fontId="4" fillId="0" borderId="0" xfId="0" applyFont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 applyFill="1" applyAlignment="1">
      <alignment horizontal="center"/>
    </xf>
    <xf numFmtId="38" fontId="4" fillId="0" borderId="4" xfId="0" applyNumberFormat="1" applyFont="1" applyBorder="1"/>
    <xf numFmtId="0" fontId="4" fillId="0" borderId="5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Fill="1" applyBorder="1"/>
    <xf numFmtId="7" fontId="4" fillId="0" borderId="0" xfId="3" quotePrefix="1" applyNumberFormat="1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12" xfId="0" applyNumberFormat="1" applyFont="1" applyBorder="1"/>
    <xf numFmtId="164" fontId="4" fillId="0" borderId="0" xfId="0" applyNumberFormat="1" applyFont="1" applyFill="1"/>
    <xf numFmtId="169" fontId="4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Continuous"/>
    </xf>
    <xf numFmtId="10" fontId="3" fillId="0" borderId="0" xfId="0" applyNumberFormat="1" applyFont="1"/>
    <xf numFmtId="5" fontId="4" fillId="0" borderId="0" xfId="0" applyNumberFormat="1" applyFont="1"/>
    <xf numFmtId="166" fontId="5" fillId="0" borderId="2" xfId="3" applyNumberFormat="1" applyFont="1" applyFill="1" applyBorder="1" applyAlignment="1">
      <alignment horizontal="right"/>
    </xf>
    <xf numFmtId="1" fontId="4" fillId="0" borderId="0" xfId="0" applyNumberFormat="1" applyFont="1"/>
    <xf numFmtId="0" fontId="7" fillId="0" borderId="0" xfId="0" applyFont="1" applyAlignment="1">
      <alignment horizontal="center"/>
    </xf>
    <xf numFmtId="170" fontId="5" fillId="0" borderId="6" xfId="0" applyNumberFormat="1" applyFont="1" applyFill="1" applyBorder="1"/>
    <xf numFmtId="0" fontId="5" fillId="0" borderId="0" xfId="0" applyFont="1" applyAlignment="1">
      <alignment horizontal="center"/>
    </xf>
    <xf numFmtId="10" fontId="5" fillId="0" borderId="3" xfId="6" applyNumberFormat="1" applyFont="1" applyFill="1" applyBorder="1"/>
    <xf numFmtId="0" fontId="5" fillId="0" borderId="2" xfId="0" applyFont="1" applyFill="1" applyBorder="1"/>
    <xf numFmtId="10" fontId="4" fillId="0" borderId="0" xfId="6" applyNumberFormat="1" applyFont="1"/>
    <xf numFmtId="165" fontId="5" fillId="0" borderId="0" xfId="6" applyNumberFormat="1" applyFont="1"/>
    <xf numFmtId="172" fontId="4" fillId="0" borderId="0" xfId="0" applyNumberFormat="1" applyFont="1"/>
    <xf numFmtId="164" fontId="4" fillId="0" borderId="9" xfId="1" applyNumberFormat="1" applyFont="1" applyBorder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71" fontId="4" fillId="0" borderId="8" xfId="3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left"/>
    </xf>
    <xf numFmtId="166" fontId="5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9" fillId="0" borderId="0" xfId="0" applyFont="1" applyProtection="1"/>
    <xf numFmtId="0" fontId="10" fillId="0" borderId="0" xfId="0" applyFont="1"/>
    <xf numFmtId="0" fontId="5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Border="1"/>
    <xf numFmtId="0" fontId="5" fillId="0" borderId="5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Fill="1" applyBorder="1"/>
    <xf numFmtId="10" fontId="5" fillId="0" borderId="9" xfId="6" applyNumberFormat="1" applyFont="1" applyFill="1" applyBorder="1"/>
    <xf numFmtId="167" fontId="5" fillId="0" borderId="11" xfId="1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40" fontId="11" fillId="0" borderId="3" xfId="0" applyNumberFormat="1" applyFont="1" applyFill="1" applyBorder="1"/>
    <xf numFmtId="0" fontId="1" fillId="0" borderId="0" xfId="0" applyFont="1" applyFill="1" applyBorder="1"/>
    <xf numFmtId="0" fontId="4" fillId="0" borderId="0" xfId="0" applyFont="1" applyAlignment="1">
      <alignment horizontal="left"/>
    </xf>
    <xf numFmtId="170" fontId="12" fillId="0" borderId="0" xfId="0" applyNumberFormat="1" applyFont="1" applyFill="1" applyBorder="1"/>
    <xf numFmtId="164" fontId="12" fillId="0" borderId="0" xfId="0" applyNumberFormat="1" applyFont="1" applyFill="1"/>
    <xf numFmtId="0" fontId="7" fillId="0" borderId="0" xfId="0" applyFont="1" applyAlignment="1">
      <alignment horizontal="left"/>
    </xf>
    <xf numFmtId="0" fontId="7" fillId="0" borderId="0" xfId="0" applyFont="1"/>
    <xf numFmtId="3" fontId="12" fillId="0" borderId="9" xfId="0" applyNumberFormat="1" applyFont="1" applyFill="1" applyBorder="1"/>
    <xf numFmtId="0" fontId="5" fillId="0" borderId="7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7" fontId="6" fillId="0" borderId="0" xfId="1" applyNumberFormat="1" applyFont="1" applyFill="1" applyBorder="1" applyAlignment="1">
      <alignment horizontal="center"/>
    </xf>
    <xf numFmtId="10" fontId="11" fillId="0" borderId="8" xfId="6" applyNumberFormat="1" applyFont="1" applyBorder="1" applyAlignment="1">
      <alignment horizontal="right"/>
    </xf>
    <xf numFmtId="10" fontId="11" fillId="0" borderId="9" xfId="6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right"/>
    </xf>
    <xf numFmtId="10" fontId="11" fillId="0" borderId="9" xfId="6" applyNumberFormat="1" applyFont="1" applyBorder="1" applyAlignment="1">
      <alignment horizontal="right"/>
    </xf>
    <xf numFmtId="10" fontId="11" fillId="0" borderId="11" xfId="6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8" fontId="4" fillId="0" borderId="4" xfId="0" applyNumberFormat="1" applyFont="1" applyFill="1" applyBorder="1"/>
    <xf numFmtId="7" fontId="4" fillId="0" borderId="0" xfId="0" applyNumberFormat="1" applyFont="1"/>
    <xf numFmtId="43" fontId="4" fillId="0" borderId="0" xfId="1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4" fillId="0" borderId="0" xfId="1" applyNumberFormat="1" applyFont="1" applyFill="1"/>
    <xf numFmtId="169" fontId="4" fillId="0" borderId="0" xfId="0" applyNumberFormat="1" applyFont="1" applyFill="1"/>
    <xf numFmtId="168" fontId="4" fillId="0" borderId="9" xfId="1" applyNumberFormat="1" applyFont="1" applyBorder="1"/>
    <xf numFmtId="0" fontId="0" fillId="0" borderId="0" xfId="0" applyFill="1"/>
    <xf numFmtId="0" fontId="4" fillId="0" borderId="0" xfId="0" quotePrefix="1" applyFont="1" applyAlignment="1">
      <alignment horizontal="left"/>
    </xf>
    <xf numFmtId="0" fontId="14" fillId="0" borderId="0" xfId="0" quotePrefix="1" applyFont="1" applyProtection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12" fillId="0" borderId="0" xfId="6" applyNumberFormat="1" applyFont="1"/>
    <xf numFmtId="165" fontId="1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4" fillId="0" borderId="0" xfId="0" applyFont="1" applyAlignment="1">
      <alignment horizontal="center"/>
    </xf>
    <xf numFmtId="38" fontId="12" fillId="0" borderId="4" xfId="0" applyNumberFormat="1" applyFont="1" applyBorder="1"/>
    <xf numFmtId="38" fontId="12" fillId="0" borderId="4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71" fontId="7" fillId="0" borderId="9" xfId="3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right"/>
    </xf>
    <xf numFmtId="167" fontId="11" fillId="0" borderId="14" xfId="1" applyNumberFormat="1" applyFont="1" applyFill="1" applyBorder="1" applyAlignment="1">
      <alignment horizontal="right"/>
    </xf>
    <xf numFmtId="43" fontId="5" fillId="0" borderId="0" xfId="1" applyFont="1"/>
    <xf numFmtId="164" fontId="4" fillId="0" borderId="0" xfId="1" applyNumberFormat="1" applyFont="1"/>
    <xf numFmtId="167" fontId="4" fillId="0" borderId="0" xfId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0" fontId="4" fillId="0" borderId="0" xfId="6" applyNumberFormat="1" applyFont="1" applyBorder="1"/>
    <xf numFmtId="164" fontId="15" fillId="0" borderId="0" xfId="0" applyNumberFormat="1" applyFont="1"/>
    <xf numFmtId="0" fontId="4" fillId="0" borderId="0" xfId="0" applyFont="1" applyAlignment="1">
      <alignment horizontal="right"/>
    </xf>
    <xf numFmtId="9" fontId="4" fillId="0" borderId="0" xfId="6" applyFont="1"/>
    <xf numFmtId="164" fontId="4" fillId="0" borderId="0" xfId="6" applyNumberFormat="1" applyFont="1"/>
    <xf numFmtId="164" fontId="16" fillId="0" borderId="0" xfId="0" applyNumberFormat="1" applyFont="1"/>
    <xf numFmtId="0" fontId="15" fillId="0" borderId="0" xfId="0" applyFont="1" applyAlignment="1">
      <alignment horizontal="right"/>
    </xf>
    <xf numFmtId="0" fontId="4" fillId="0" borderId="7" xfId="0" applyFont="1" applyBorder="1"/>
    <xf numFmtId="164" fontId="4" fillId="0" borderId="1" xfId="0" applyNumberFormat="1" applyFont="1" applyBorder="1"/>
    <xf numFmtId="164" fontId="4" fillId="0" borderId="8" xfId="0" applyNumberFormat="1" applyFont="1" applyBorder="1"/>
    <xf numFmtId="43" fontId="4" fillId="0" borderId="0" xfId="1" applyFont="1" applyBorder="1"/>
    <xf numFmtId="43" fontId="4" fillId="0" borderId="9" xfId="1" applyFont="1" applyBorder="1"/>
    <xf numFmtId="166" fontId="4" fillId="0" borderId="0" xfId="0" applyNumberFormat="1" applyFont="1" applyBorder="1"/>
    <xf numFmtId="166" fontId="4" fillId="0" borderId="9" xfId="0" applyNumberFormat="1" applyFont="1" applyBorder="1"/>
    <xf numFmtId="164" fontId="4" fillId="0" borderId="0" xfId="0" applyNumberFormat="1" applyFont="1" applyBorder="1"/>
    <xf numFmtId="164" fontId="4" fillId="0" borderId="9" xfId="0" applyNumberFormat="1" applyFont="1" applyBorder="1"/>
    <xf numFmtId="165" fontId="4" fillId="0" borderId="0" xfId="6" applyNumberFormat="1" applyFont="1" applyBorder="1"/>
    <xf numFmtId="165" fontId="4" fillId="0" borderId="9" xfId="6" applyNumberFormat="1" applyFont="1" applyBorder="1"/>
    <xf numFmtId="164" fontId="4" fillId="0" borderId="10" xfId="0" applyNumberFormat="1" applyFont="1" applyBorder="1"/>
    <xf numFmtId="10" fontId="4" fillId="0" borderId="11" xfId="6" applyNumberFormat="1" applyFont="1" applyBorder="1"/>
    <xf numFmtId="0" fontId="4" fillId="0" borderId="7" xfId="0" applyFont="1" applyFill="1" applyBorder="1"/>
    <xf numFmtId="10" fontId="4" fillId="0" borderId="9" xfId="6" applyNumberFormat="1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</cellXfs>
  <cellStyles count="7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6"/>
  <sheetViews>
    <sheetView zoomScaleNormal="100" workbookViewId="0">
      <selection sqref="A1:D1"/>
    </sheetView>
  </sheetViews>
  <sheetFormatPr defaultColWidth="8.81640625" defaultRowHeight="15.5"/>
  <cols>
    <col min="1" max="1" width="7.81640625" style="5" customWidth="1"/>
    <col min="2" max="2" width="62.453125" style="5" customWidth="1"/>
    <col min="3" max="3" width="173.1796875" style="5" customWidth="1"/>
    <col min="4" max="4" width="7.81640625" style="5" customWidth="1"/>
    <col min="5" max="5" width="7.7265625" style="5" customWidth="1"/>
    <col min="6" max="6" width="20.7265625" style="6" customWidth="1"/>
    <col min="7" max="7" width="9.1796875" style="5" bestFit="1" customWidth="1"/>
    <col min="8" max="8" width="8.81640625" style="6" customWidth="1"/>
    <col min="9" max="9" width="9.81640625" style="5" bestFit="1" customWidth="1"/>
    <col min="10" max="16384" width="8.81640625" style="5"/>
  </cols>
  <sheetData>
    <row r="1" spans="1:8">
      <c r="A1" s="176" t="s">
        <v>122</v>
      </c>
      <c r="B1" s="176"/>
      <c r="C1" s="176"/>
      <c r="D1" s="176"/>
      <c r="E1" s="4"/>
      <c r="G1" s="6"/>
    </row>
    <row r="2" spans="1:8">
      <c r="A2" s="176" t="s">
        <v>125</v>
      </c>
      <c r="B2" s="176"/>
      <c r="C2" s="176"/>
      <c r="D2" s="176"/>
      <c r="E2" s="4"/>
      <c r="G2" s="6"/>
    </row>
    <row r="3" spans="1:8">
      <c r="A3" s="176" t="s">
        <v>154</v>
      </c>
      <c r="B3" s="176"/>
      <c r="C3" s="176"/>
      <c r="D3" s="176"/>
      <c r="E3" s="4"/>
      <c r="G3" s="6"/>
    </row>
    <row r="4" spans="1:8">
      <c r="A4" s="74"/>
      <c r="B4" s="74"/>
      <c r="C4" s="74"/>
      <c r="D4" s="74"/>
      <c r="E4" s="4"/>
      <c r="G4" s="6"/>
    </row>
    <row r="5" spans="1:8">
      <c r="A5" s="176" t="s">
        <v>66</v>
      </c>
      <c r="B5" s="176"/>
      <c r="C5" s="176"/>
      <c r="D5" s="176"/>
      <c r="E5" s="4"/>
      <c r="F5" s="7"/>
      <c r="G5" s="7"/>
      <c r="H5" s="7"/>
    </row>
    <row r="6" spans="1:8">
      <c r="A6" s="74"/>
      <c r="B6" s="74"/>
      <c r="C6" s="74"/>
      <c r="D6" s="74"/>
      <c r="E6" s="74"/>
      <c r="F6" s="7"/>
      <c r="G6" s="7"/>
      <c r="H6" s="7"/>
    </row>
    <row r="7" spans="1:8" s="2" customFormat="1">
      <c r="A7" s="1" t="s">
        <v>19</v>
      </c>
      <c r="B7" s="80"/>
      <c r="C7" s="80"/>
      <c r="D7" s="1" t="s">
        <v>19</v>
      </c>
    </row>
    <row r="8" spans="1:8">
      <c r="A8" s="81" t="s">
        <v>67</v>
      </c>
      <c r="B8" s="81" t="s">
        <v>68</v>
      </c>
      <c r="C8" s="81" t="s">
        <v>69</v>
      </c>
      <c r="D8" s="81" t="s">
        <v>67</v>
      </c>
      <c r="F8" s="5"/>
      <c r="H8" s="5"/>
    </row>
    <row r="9" spans="1:8">
      <c r="A9" s="1"/>
      <c r="B9" s="82"/>
      <c r="C9" s="2"/>
      <c r="D9" s="1"/>
      <c r="F9" s="5"/>
      <c r="H9" s="5"/>
    </row>
    <row r="10" spans="1:8">
      <c r="A10" s="1">
        <v>1</v>
      </c>
      <c r="B10" s="2" t="s">
        <v>66</v>
      </c>
      <c r="C10" s="83" t="s">
        <v>70</v>
      </c>
      <c r="D10" s="1">
        <v>1</v>
      </c>
      <c r="F10" s="66"/>
      <c r="H10" s="5"/>
    </row>
    <row r="11" spans="1:8">
      <c r="A11" s="1">
        <f>A10+1</f>
        <v>2</v>
      </c>
      <c r="B11" s="17" t="s">
        <v>78</v>
      </c>
      <c r="C11" s="84" t="s">
        <v>71</v>
      </c>
      <c r="D11" s="1">
        <f>D10+1</f>
        <v>2</v>
      </c>
      <c r="F11" s="5"/>
      <c r="H11" s="5"/>
    </row>
    <row r="12" spans="1:8">
      <c r="A12" s="1">
        <f>A11+1</f>
        <v>3</v>
      </c>
      <c r="B12" s="85" t="s">
        <v>72</v>
      </c>
      <c r="C12" s="84" t="s">
        <v>73</v>
      </c>
      <c r="D12" s="1">
        <f>D11+1</f>
        <v>3</v>
      </c>
      <c r="F12" s="5"/>
      <c r="H12" s="5"/>
    </row>
    <row r="13" spans="1:8">
      <c r="A13" s="1">
        <f t="shared" ref="A13:A19" si="0">A12+1</f>
        <v>4</v>
      </c>
      <c r="B13" s="85" t="s">
        <v>74</v>
      </c>
      <c r="C13" s="84" t="s">
        <v>75</v>
      </c>
      <c r="D13" s="1">
        <f t="shared" ref="D13:D19" si="1">D12+1</f>
        <v>4</v>
      </c>
      <c r="F13" s="5"/>
      <c r="H13" s="5"/>
    </row>
    <row r="14" spans="1:8">
      <c r="A14" s="1">
        <f t="shared" si="0"/>
        <v>5</v>
      </c>
      <c r="B14" s="17" t="s">
        <v>117</v>
      </c>
      <c r="C14" s="84" t="s">
        <v>124</v>
      </c>
      <c r="D14" s="1">
        <f t="shared" si="1"/>
        <v>5</v>
      </c>
      <c r="F14" s="5"/>
      <c r="H14" s="5"/>
    </row>
    <row r="15" spans="1:8">
      <c r="A15" s="1">
        <f t="shared" si="0"/>
        <v>6</v>
      </c>
      <c r="B15" s="17" t="s">
        <v>118</v>
      </c>
      <c r="C15" s="84" t="s">
        <v>119</v>
      </c>
      <c r="D15" s="1">
        <f t="shared" si="1"/>
        <v>6</v>
      </c>
      <c r="F15" s="5"/>
      <c r="H15" s="5"/>
    </row>
    <row r="16" spans="1:8">
      <c r="A16" s="1">
        <f t="shared" si="0"/>
        <v>7</v>
      </c>
      <c r="B16" s="17" t="s">
        <v>155</v>
      </c>
      <c r="C16" s="84" t="s">
        <v>156</v>
      </c>
      <c r="D16" s="1">
        <f t="shared" si="1"/>
        <v>7</v>
      </c>
      <c r="F16" s="5"/>
      <c r="H16" s="5"/>
    </row>
    <row r="17" spans="1:8">
      <c r="A17" s="1">
        <f t="shared" si="0"/>
        <v>8</v>
      </c>
      <c r="B17" s="17" t="s">
        <v>76</v>
      </c>
      <c r="C17" s="84" t="s">
        <v>93</v>
      </c>
      <c r="D17" s="1">
        <f t="shared" si="1"/>
        <v>8</v>
      </c>
      <c r="F17" s="66"/>
      <c r="H17" s="5"/>
    </row>
    <row r="18" spans="1:8">
      <c r="A18" s="1">
        <f t="shared" si="0"/>
        <v>9</v>
      </c>
      <c r="B18" s="17" t="s">
        <v>77</v>
      </c>
      <c r="C18" s="84" t="s">
        <v>101</v>
      </c>
      <c r="D18" s="1">
        <f t="shared" si="1"/>
        <v>9</v>
      </c>
      <c r="F18" s="12"/>
      <c r="H18" s="5"/>
    </row>
    <row r="19" spans="1:8">
      <c r="A19" s="1">
        <f t="shared" si="0"/>
        <v>10</v>
      </c>
      <c r="B19" s="17" t="s">
        <v>56</v>
      </c>
      <c r="C19" s="84" t="s">
        <v>123</v>
      </c>
      <c r="D19" s="1">
        <f t="shared" si="1"/>
        <v>10</v>
      </c>
      <c r="E19" s="17"/>
      <c r="F19" s="5"/>
      <c r="H19" s="5"/>
    </row>
    <row r="20" spans="1:8">
      <c r="A20" s="1"/>
      <c r="B20" s="17"/>
      <c r="C20" s="20"/>
      <c r="D20" s="21"/>
      <c r="E20" s="17"/>
      <c r="F20" s="5"/>
      <c r="H20" s="5"/>
    </row>
    <row r="21" spans="1:8">
      <c r="A21" s="1"/>
      <c r="B21" s="17"/>
      <c r="C21" s="20"/>
      <c r="D21" s="7"/>
      <c r="E21" s="17"/>
      <c r="F21" s="5"/>
      <c r="H21" s="5"/>
    </row>
    <row r="22" spans="1:8">
      <c r="A22" s="1"/>
      <c r="B22" s="17"/>
      <c r="C22" s="20"/>
      <c r="D22" s="7"/>
      <c r="E22" s="17"/>
      <c r="F22" s="5"/>
      <c r="H22" s="5"/>
    </row>
    <row r="23" spans="1:8">
      <c r="A23" s="2"/>
      <c r="B23" s="2"/>
      <c r="C23" s="2"/>
      <c r="D23" s="2"/>
      <c r="E23" s="2"/>
      <c r="G23" s="6"/>
    </row>
    <row r="24" spans="1:8">
      <c r="A24" s="2"/>
      <c r="B24" s="2"/>
      <c r="C24" s="2"/>
      <c r="D24" s="2"/>
      <c r="E24" s="2"/>
      <c r="G24" s="6"/>
    </row>
    <row r="25" spans="1:8">
      <c r="G25" s="6"/>
    </row>
    <row r="26" spans="1:8">
      <c r="G26" s="6"/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71" orientation="landscape" r:id="rId1"/>
  <headerFooter alignWithMargins="0">
    <oddFooter>&amp;L&amp;F  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G35"/>
  <sheetViews>
    <sheetView topLeftCell="A3" zoomScaleNormal="100" workbookViewId="0">
      <selection activeCell="B22" sqref="B22:B31"/>
    </sheetView>
  </sheetViews>
  <sheetFormatPr defaultRowHeight="12.5"/>
  <cols>
    <col min="1" max="1" width="8.7265625" customWidth="1"/>
    <col min="2" max="2" width="70.7265625" customWidth="1"/>
    <col min="3" max="3" width="54.7265625" customWidth="1"/>
    <col min="4" max="4" width="8.453125" customWidth="1"/>
  </cols>
  <sheetData>
    <row r="1" spans="1:7" ht="15.5">
      <c r="A1" s="51" t="str">
        <f>'Marg Distrib Demand Cost Sum'!A1:E1</f>
        <v>SAN DIEGO GAS &amp; ELECTRIC COMPANY ("SDG&amp;E")</v>
      </c>
      <c r="B1" s="51"/>
      <c r="C1" s="51"/>
      <c r="D1" s="51"/>
    </row>
    <row r="2" spans="1:7" s="53" customFormat="1" ht="15.5">
      <c r="A2" s="51" t="str">
        <f>'Marg Distrib Demand Cost Sum'!A2:E2</f>
        <v>TEST YEAR ("TY") 2019 GENERAL RATE CASE ("GRC") PHASE 2, APPLICATION ("A.") 19-03-002</v>
      </c>
      <c r="B2" s="51"/>
      <c r="C2" s="52"/>
      <c r="D2" s="52"/>
    </row>
    <row r="3" spans="1:7" ht="15.5">
      <c r="A3" s="51" t="str">
        <f>'Marg Distrib Demand Cost Sum'!A3:E3</f>
        <v>MARGINAL DISTRIBUTION DEMAND COST WORKPAPER - CHAPTER 5 (SAXE) - REBUTTAL</v>
      </c>
      <c r="B3" s="51"/>
      <c r="C3" s="51"/>
      <c r="D3" s="51"/>
    </row>
    <row r="4" spans="1:7" ht="15.5">
      <c r="A4" s="51"/>
      <c r="B4" s="51"/>
      <c r="C4" s="51"/>
      <c r="D4" s="51"/>
    </row>
    <row r="5" spans="1:7" s="53" customFormat="1" ht="15.5">
      <c r="A5" s="52"/>
      <c r="B5" s="51"/>
      <c r="C5" s="52"/>
      <c r="D5" s="52"/>
    </row>
    <row r="6" spans="1:7" s="53" customFormat="1" ht="15.5">
      <c r="A6" s="1" t="s">
        <v>19</v>
      </c>
      <c r="B6" s="51"/>
      <c r="C6" s="51"/>
      <c r="D6" s="1" t="s">
        <v>19</v>
      </c>
    </row>
    <row r="7" spans="1:7" s="54" customFormat="1" ht="15.5">
      <c r="A7" s="81" t="s">
        <v>67</v>
      </c>
      <c r="B7" s="86"/>
      <c r="C7" s="87"/>
      <c r="D7" s="81" t="s">
        <v>67</v>
      </c>
    </row>
    <row r="8" spans="1:7" s="54" customFormat="1" ht="16" thickBot="1">
      <c r="A8" s="79"/>
      <c r="B8" s="184" t="s">
        <v>84</v>
      </c>
      <c r="C8" s="184"/>
      <c r="D8" s="79"/>
    </row>
    <row r="9" spans="1:7" s="54" customFormat="1" ht="15.5">
      <c r="A9" s="79">
        <v>1</v>
      </c>
      <c r="B9" s="108" t="s">
        <v>58</v>
      </c>
      <c r="C9" s="111">
        <v>2.9094935671404847E-2</v>
      </c>
      <c r="D9" s="79">
        <v>1</v>
      </c>
      <c r="G9" s="56"/>
    </row>
    <row r="10" spans="1:7" s="54" customFormat="1" ht="15.5">
      <c r="A10" s="134">
        <f>A9+1</f>
        <v>2</v>
      </c>
      <c r="B10" s="88" t="s">
        <v>104</v>
      </c>
      <c r="C10" s="112">
        <v>1.99475E-2</v>
      </c>
      <c r="D10" s="134">
        <f>D9+1</f>
        <v>2</v>
      </c>
      <c r="G10" s="56"/>
    </row>
    <row r="11" spans="1:7" s="54" customFormat="1" ht="15.5">
      <c r="A11" s="134">
        <f t="shared" ref="A11:A19" si="0">A10+1</f>
        <v>3</v>
      </c>
      <c r="B11" s="89"/>
      <c r="C11" s="113"/>
      <c r="D11" s="134">
        <f t="shared" ref="D11:D19" si="1">D10+1</f>
        <v>3</v>
      </c>
      <c r="G11" s="56"/>
    </row>
    <row r="12" spans="1:7" s="54" customFormat="1" ht="15.5">
      <c r="A12" s="134">
        <f t="shared" si="0"/>
        <v>4</v>
      </c>
      <c r="B12" s="88" t="s">
        <v>57</v>
      </c>
      <c r="C12" s="112">
        <v>0.39228522523278636</v>
      </c>
      <c r="D12" s="134">
        <f t="shared" si="1"/>
        <v>4</v>
      </c>
      <c r="G12" s="56"/>
    </row>
    <row r="13" spans="1:7" s="54" customFormat="1" ht="15.5">
      <c r="A13" s="134">
        <f t="shared" si="0"/>
        <v>5</v>
      </c>
      <c r="B13" s="88" t="s">
        <v>55</v>
      </c>
      <c r="C13" s="114">
        <v>1.7239722571756183E-2</v>
      </c>
      <c r="D13" s="134">
        <f t="shared" si="1"/>
        <v>5</v>
      </c>
      <c r="G13" s="56"/>
    </row>
    <row r="14" spans="1:7" s="54" customFormat="1" ht="15.5">
      <c r="A14" s="134">
        <f t="shared" si="0"/>
        <v>6</v>
      </c>
      <c r="B14" s="88" t="s">
        <v>54</v>
      </c>
      <c r="C14" s="112">
        <v>7.0621840537004127E-2</v>
      </c>
      <c r="D14" s="134">
        <f t="shared" si="1"/>
        <v>6</v>
      </c>
      <c r="G14" s="56"/>
    </row>
    <row r="15" spans="1:7" s="54" customFormat="1" ht="16" thickBot="1">
      <c r="A15" s="134">
        <f t="shared" si="0"/>
        <v>7</v>
      </c>
      <c r="B15" s="91" t="s">
        <v>85</v>
      </c>
      <c r="C15" s="115">
        <v>7.182678421054596E-2</v>
      </c>
      <c r="D15" s="134">
        <f t="shared" si="1"/>
        <v>7</v>
      </c>
      <c r="G15" s="56"/>
    </row>
    <row r="16" spans="1:7" s="54" customFormat="1" ht="15.5">
      <c r="A16" s="134">
        <f t="shared" si="0"/>
        <v>8</v>
      </c>
      <c r="B16" s="90"/>
      <c r="C16" s="90"/>
      <c r="D16" s="134">
        <f t="shared" si="1"/>
        <v>8</v>
      </c>
      <c r="G16" s="56"/>
    </row>
    <row r="17" spans="1:7" s="54" customFormat="1" ht="15.5">
      <c r="A17" s="134">
        <f t="shared" si="0"/>
        <v>9</v>
      </c>
      <c r="B17" s="4"/>
      <c r="C17" s="4"/>
      <c r="D17" s="134">
        <f t="shared" si="1"/>
        <v>9</v>
      </c>
      <c r="G17" s="56"/>
    </row>
    <row r="18" spans="1:7" s="54" customFormat="1" ht="16" thickBot="1">
      <c r="A18" s="134">
        <f t="shared" si="0"/>
        <v>10</v>
      </c>
      <c r="B18" s="184" t="s">
        <v>53</v>
      </c>
      <c r="C18" s="184"/>
      <c r="D18" s="134">
        <f t="shared" si="1"/>
        <v>10</v>
      </c>
      <c r="G18" s="56"/>
    </row>
    <row r="19" spans="1:7" s="54" customFormat="1" ht="16" thickBot="1">
      <c r="A19" s="134">
        <f t="shared" si="0"/>
        <v>11</v>
      </c>
      <c r="B19" s="145" t="s">
        <v>98</v>
      </c>
      <c r="C19" s="146">
        <v>1.085144063993809</v>
      </c>
      <c r="D19" s="134">
        <f t="shared" si="1"/>
        <v>11</v>
      </c>
      <c r="G19" s="56"/>
    </row>
    <row r="20" spans="1:7" s="54" customFormat="1" ht="15.5">
      <c r="A20" s="87"/>
      <c r="B20" s="109"/>
      <c r="C20" s="110"/>
      <c r="D20" s="87"/>
      <c r="G20" s="56"/>
    </row>
    <row r="21" spans="1:7" ht="13">
      <c r="A21" s="29" t="s">
        <v>79</v>
      </c>
      <c r="B21" s="53"/>
    </row>
    <row r="22" spans="1:7" ht="13">
      <c r="B22" s="98" t="s">
        <v>167</v>
      </c>
      <c r="C22" s="126"/>
    </row>
    <row r="23" spans="1:7" ht="13">
      <c r="B23" s="98" t="s">
        <v>168</v>
      </c>
      <c r="C23" s="126"/>
    </row>
    <row r="24" spans="1:7">
      <c r="B24" s="98" t="s">
        <v>169</v>
      </c>
      <c r="C24" s="126"/>
    </row>
    <row r="25" spans="1:7" ht="13">
      <c r="B25" s="53" t="s">
        <v>170</v>
      </c>
      <c r="C25" s="126"/>
    </row>
    <row r="26" spans="1:7" ht="13">
      <c r="B26" s="99" t="s">
        <v>171</v>
      </c>
      <c r="C26" s="126"/>
    </row>
    <row r="27" spans="1:7" ht="13">
      <c r="B27" s="98" t="s">
        <v>105</v>
      </c>
    </row>
    <row r="28" spans="1:7" ht="13">
      <c r="B28" s="98" t="s">
        <v>106</v>
      </c>
    </row>
    <row r="29" spans="1:7" ht="13">
      <c r="B29" s="53" t="s">
        <v>107</v>
      </c>
    </row>
    <row r="30" spans="1:7">
      <c r="B30" s="53" t="s">
        <v>99</v>
      </c>
    </row>
    <row r="31" spans="1:7">
      <c r="B31" s="101" t="s">
        <v>116</v>
      </c>
    </row>
    <row r="32" spans="1:7">
      <c r="B32" s="101"/>
    </row>
    <row r="34" spans="2:2">
      <c r="B34" s="128"/>
    </row>
    <row r="35" spans="2:2">
      <c r="B35" s="53"/>
    </row>
  </sheetData>
  <mergeCells count="2">
    <mergeCell ref="B18:C18"/>
    <mergeCell ref="B8:C8"/>
  </mergeCells>
  <phoneticPr fontId="2" type="noConversion"/>
  <printOptions horizontalCentered="1"/>
  <pageMargins left="0.75" right="0.75" top="1" bottom="1" header="0.5" footer="0.5"/>
  <pageSetup scale="89" orientation="landscape" r:id="rId1"/>
  <headerFooter alignWithMargins="0">
    <oddFooter>&amp;L&amp;F  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27"/>
  <sheetViews>
    <sheetView zoomScaleNormal="100" workbookViewId="0">
      <selection activeCell="D23" sqref="D23"/>
    </sheetView>
  </sheetViews>
  <sheetFormatPr defaultColWidth="8.81640625" defaultRowHeight="15.5"/>
  <cols>
    <col min="1" max="1" width="7.81640625" style="5" customWidth="1"/>
    <col min="2" max="2" width="65.7265625" style="5" customWidth="1"/>
    <col min="3" max="3" width="26.1796875" style="5" customWidth="1"/>
    <col min="4" max="4" width="7.81640625" style="5" customWidth="1"/>
    <col min="5" max="5" width="7.7265625" style="5" customWidth="1"/>
    <col min="6" max="6" width="20.7265625" style="6" customWidth="1"/>
    <col min="7" max="7" width="9.1796875" style="5" bestFit="1" customWidth="1"/>
    <col min="8" max="8" width="8.81640625" style="6" customWidth="1"/>
    <col min="9" max="9" width="9.81640625" style="5" bestFit="1" customWidth="1"/>
    <col min="10" max="16384" width="8.81640625" style="5"/>
  </cols>
  <sheetData>
    <row r="1" spans="1:8">
      <c r="A1" s="176" t="str">
        <f>'Tab Descriptions'!A1:D1</f>
        <v>SAN DIEGO GAS &amp; ELECTRIC COMPANY ("SDG&amp;E")</v>
      </c>
      <c r="B1" s="176"/>
      <c r="C1" s="176"/>
      <c r="D1" s="176"/>
      <c r="E1" s="4"/>
      <c r="G1" s="6"/>
    </row>
    <row r="2" spans="1:8">
      <c r="A2" s="176" t="str">
        <f>'Tab Descriptions'!A2:D2</f>
        <v>TEST YEAR ("TY") 2019 GENERAL RATE CASE ("GRC") PHASE 2, APPLICATION ("A.") 19-03-002</v>
      </c>
      <c r="B2" s="176"/>
      <c r="C2" s="176"/>
      <c r="D2" s="176"/>
      <c r="E2" s="4"/>
      <c r="G2" s="6"/>
    </row>
    <row r="3" spans="1:8">
      <c r="A3" s="176" t="str">
        <f>'Tab Descriptions'!A3:D3</f>
        <v>MARGINAL DISTRIBUTION DEMAND COST WORKPAPER - CHAPTER 5 (SAXE) - REBUTTAL</v>
      </c>
      <c r="B3" s="176"/>
      <c r="C3" s="176"/>
      <c r="D3" s="176"/>
      <c r="E3" s="4"/>
      <c r="G3" s="6"/>
    </row>
    <row r="4" spans="1:8">
      <c r="A4" s="70"/>
      <c r="B4" s="70"/>
      <c r="C4" s="70"/>
      <c r="D4" s="70"/>
      <c r="E4" s="4"/>
      <c r="G4" s="6"/>
    </row>
    <row r="5" spans="1:8">
      <c r="A5" s="176" t="s">
        <v>60</v>
      </c>
      <c r="B5" s="176"/>
      <c r="C5" s="176"/>
      <c r="D5" s="176"/>
      <c r="E5" s="4"/>
      <c r="F5" s="7"/>
      <c r="G5" s="7"/>
      <c r="H5" s="7"/>
    </row>
    <row r="6" spans="1:8">
      <c r="A6" s="3"/>
      <c r="B6" s="3"/>
      <c r="C6" s="3"/>
      <c r="D6" s="3"/>
      <c r="E6" s="3"/>
      <c r="F6" s="7"/>
      <c r="G6" s="7"/>
      <c r="H6" s="7"/>
    </row>
    <row r="7" spans="1:8" s="2" customFormat="1">
      <c r="A7" s="1" t="s">
        <v>19</v>
      </c>
      <c r="C7" s="1"/>
      <c r="D7" s="1" t="s">
        <v>19</v>
      </c>
    </row>
    <row r="8" spans="1:8" ht="16" thickBot="1">
      <c r="A8" s="81" t="s">
        <v>67</v>
      </c>
      <c r="B8" s="2"/>
      <c r="C8" s="2"/>
      <c r="D8" s="81" t="s">
        <v>67</v>
      </c>
      <c r="F8" s="5"/>
      <c r="H8" s="5"/>
    </row>
    <row r="9" spans="1:8">
      <c r="A9" s="1"/>
      <c r="B9" s="179" t="s">
        <v>36</v>
      </c>
      <c r="C9" s="8"/>
      <c r="D9" s="1"/>
      <c r="F9" s="5"/>
      <c r="H9" s="5"/>
    </row>
    <row r="10" spans="1:8" ht="16" thickBot="1">
      <c r="A10" s="1">
        <v>1</v>
      </c>
      <c r="B10" s="180"/>
      <c r="C10" s="10"/>
      <c r="D10" s="1">
        <v>1</v>
      </c>
      <c r="F10" s="5"/>
      <c r="H10" s="5"/>
    </row>
    <row r="11" spans="1:8">
      <c r="A11" s="1">
        <f>A10+1</f>
        <v>2</v>
      </c>
      <c r="B11" s="8"/>
      <c r="C11" s="10"/>
      <c r="D11" s="1">
        <f>D10+1</f>
        <v>2</v>
      </c>
      <c r="F11" s="5"/>
      <c r="H11" s="5"/>
    </row>
    <row r="12" spans="1:8">
      <c r="A12" s="1">
        <f t="shared" ref="A12:A19" si="0">A11+1</f>
        <v>3</v>
      </c>
      <c r="B12" s="24" t="s">
        <v>35</v>
      </c>
      <c r="C12" s="14">
        <f>'Marg F&amp;LD Costs'!C26</f>
        <v>57.631639873940216</v>
      </c>
      <c r="D12" s="1">
        <f t="shared" ref="D12:D19" si="1">D11+1</f>
        <v>3</v>
      </c>
      <c r="F12" s="147"/>
      <c r="H12" s="5"/>
    </row>
    <row r="13" spans="1:8" ht="16" thickBot="1">
      <c r="A13" s="1">
        <f t="shared" si="0"/>
        <v>4</v>
      </c>
      <c r="B13" s="19"/>
      <c r="C13" s="16"/>
      <c r="D13" s="1">
        <f t="shared" si="1"/>
        <v>4</v>
      </c>
      <c r="F13" s="147"/>
      <c r="H13" s="5"/>
    </row>
    <row r="14" spans="1:8" ht="16" thickBot="1">
      <c r="A14" s="1">
        <f t="shared" si="0"/>
        <v>5</v>
      </c>
      <c r="B14" s="17"/>
      <c r="C14" s="18"/>
      <c r="D14" s="1">
        <f t="shared" si="1"/>
        <v>5</v>
      </c>
      <c r="F14" s="147"/>
      <c r="H14" s="5"/>
    </row>
    <row r="15" spans="1:8">
      <c r="A15" s="1">
        <f t="shared" si="0"/>
        <v>6</v>
      </c>
      <c r="B15" s="177" t="s">
        <v>37</v>
      </c>
      <c r="C15" s="58"/>
      <c r="D15" s="1">
        <f t="shared" si="1"/>
        <v>6</v>
      </c>
      <c r="F15" s="147"/>
      <c r="H15" s="5"/>
    </row>
    <row r="16" spans="1:8" ht="16" thickBot="1">
      <c r="A16" s="1">
        <f t="shared" si="0"/>
        <v>7</v>
      </c>
      <c r="B16" s="178"/>
      <c r="C16" s="15"/>
      <c r="D16" s="1">
        <f t="shared" si="1"/>
        <v>7</v>
      </c>
      <c r="F16" s="147"/>
      <c r="H16" s="5"/>
    </row>
    <row r="17" spans="1:8">
      <c r="A17" s="1">
        <f t="shared" si="0"/>
        <v>8</v>
      </c>
      <c r="B17" s="64"/>
      <c r="C17" s="15"/>
      <c r="D17" s="1">
        <f t="shared" si="1"/>
        <v>8</v>
      </c>
      <c r="F17" s="147"/>
      <c r="H17" s="5"/>
    </row>
    <row r="18" spans="1:8">
      <c r="A18" s="1">
        <f t="shared" si="0"/>
        <v>9</v>
      </c>
      <c r="B18" s="24" t="s">
        <v>35</v>
      </c>
      <c r="C18" s="14">
        <f>'Marg Substation Costs'!C26</f>
        <v>25.057014163772617</v>
      </c>
      <c r="D18" s="1">
        <f t="shared" si="1"/>
        <v>9</v>
      </c>
      <c r="F18" s="147"/>
      <c r="H18" s="5"/>
    </row>
    <row r="19" spans="1:8" ht="16" thickBot="1">
      <c r="A19" s="1">
        <f t="shared" si="0"/>
        <v>10</v>
      </c>
      <c r="B19" s="19"/>
      <c r="C19" s="16"/>
      <c r="D19" s="1">
        <f t="shared" si="1"/>
        <v>10</v>
      </c>
      <c r="F19" s="12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21"/>
      <c r="E21" s="17"/>
      <c r="F21" s="5"/>
      <c r="H21" s="5"/>
    </row>
    <row r="22" spans="1:8">
      <c r="A22" s="1"/>
      <c r="B22" s="17"/>
      <c r="C22" s="20"/>
      <c r="D22" s="7"/>
      <c r="E22" s="17"/>
      <c r="F22" s="5"/>
      <c r="H22" s="5"/>
    </row>
    <row r="23" spans="1:8">
      <c r="A23" s="1"/>
      <c r="B23" s="17"/>
      <c r="C23" s="20"/>
      <c r="D23" s="7"/>
      <c r="E23" s="17"/>
      <c r="F23" s="5"/>
      <c r="H23" s="5"/>
    </row>
    <row r="24" spans="1:8">
      <c r="A24" s="2"/>
      <c r="B24" s="2"/>
      <c r="C24" s="2"/>
      <c r="D24" s="2"/>
      <c r="E24" s="2"/>
      <c r="G24" s="6"/>
    </row>
    <row r="25" spans="1:8">
      <c r="A25" s="2"/>
      <c r="B25" s="2"/>
      <c r="C25" s="2"/>
      <c r="D25" s="2"/>
      <c r="E25" s="2"/>
      <c r="G25" s="6"/>
    </row>
    <row r="26" spans="1:8">
      <c r="G26" s="6"/>
    </row>
    <row r="27" spans="1:8">
      <c r="G27" s="6"/>
    </row>
  </sheetData>
  <mergeCells count="6">
    <mergeCell ref="B15:B16"/>
    <mergeCell ref="B9:B10"/>
    <mergeCell ref="A1:D1"/>
    <mergeCell ref="A2:D2"/>
    <mergeCell ref="A5:D5"/>
    <mergeCell ref="A3:D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32"/>
  <sheetViews>
    <sheetView topLeftCell="A8" zoomScaleNormal="100" workbookViewId="0">
      <selection activeCell="B29" sqref="B29"/>
    </sheetView>
  </sheetViews>
  <sheetFormatPr defaultColWidth="8.81640625" defaultRowHeight="15.5"/>
  <cols>
    <col min="1" max="1" width="10.7265625" style="5" customWidth="1"/>
    <col min="2" max="2" width="50" style="5" customWidth="1"/>
    <col min="3" max="3" width="10.1796875" style="5" bestFit="1" customWidth="1"/>
    <col min="4" max="4" width="12.1796875" style="5" customWidth="1"/>
    <col min="5" max="5" width="31.1796875" style="5" customWidth="1"/>
    <col min="6" max="6" width="11.26953125" style="5" customWidth="1"/>
    <col min="7" max="7" width="10.7265625" style="5" customWidth="1"/>
    <col min="8" max="10" width="8.81640625" style="5" customWidth="1"/>
    <col min="11" max="11" width="10" style="5" bestFit="1" customWidth="1"/>
    <col min="12" max="12" width="20.7265625" style="6" customWidth="1"/>
    <col min="13" max="13" width="9.1796875" style="5" bestFit="1" customWidth="1"/>
    <col min="14" max="14" width="8.81640625" style="6" customWidth="1"/>
    <col min="15" max="15" width="9.81640625" style="5" bestFit="1" customWidth="1"/>
    <col min="16" max="16384" width="8.81640625" style="5"/>
  </cols>
  <sheetData>
    <row r="1" spans="1:14">
      <c r="A1" s="176" t="str">
        <f>'Marg Distrib Demand Cost Sum'!A1:E1</f>
        <v>SAN DIEGO GAS &amp; ELECTRIC COMPANY ("SDG&amp;E")</v>
      </c>
      <c r="B1" s="176"/>
      <c r="C1" s="176"/>
      <c r="D1" s="176"/>
      <c r="E1" s="176"/>
      <c r="F1" s="181"/>
      <c r="G1" s="181"/>
      <c r="K1" s="6"/>
      <c r="M1" s="6"/>
    </row>
    <row r="2" spans="1:14">
      <c r="A2" s="176" t="str">
        <f>'Marg Distrib Demand Cost Sum'!A2:E2</f>
        <v>TEST YEAR ("TY") 2019 GENERAL RATE CASE ("GRC") PHASE 2, APPLICATION ("A.") 19-03-002</v>
      </c>
      <c r="B2" s="176"/>
      <c r="C2" s="176"/>
      <c r="D2" s="176"/>
      <c r="E2" s="176"/>
      <c r="F2" s="181"/>
      <c r="G2" s="181"/>
      <c r="K2" s="6"/>
      <c r="M2" s="6"/>
    </row>
    <row r="3" spans="1:14">
      <c r="A3" s="176" t="str">
        <f>'Marg Distrib Demand Cost Sum'!A3:E3</f>
        <v>MARGINAL DISTRIBUTION DEMAND COST WORKPAPER - CHAPTER 5 (SAXE) - REBUTTAL</v>
      </c>
      <c r="B3" s="176"/>
      <c r="C3" s="176"/>
      <c r="D3" s="176"/>
      <c r="E3" s="176"/>
      <c r="F3" s="181"/>
      <c r="G3" s="181"/>
      <c r="K3" s="6"/>
      <c r="M3" s="6"/>
    </row>
    <row r="4" spans="1:14">
      <c r="A4" s="70"/>
      <c r="B4" s="70"/>
      <c r="C4" s="70"/>
      <c r="D4" s="70"/>
      <c r="E4" s="70"/>
      <c r="F4" s="71"/>
      <c r="G4" s="71"/>
      <c r="K4" s="6"/>
      <c r="M4" s="6"/>
    </row>
    <row r="5" spans="1:14">
      <c r="A5" s="176" t="s">
        <v>102</v>
      </c>
      <c r="B5" s="176"/>
      <c r="C5" s="176"/>
      <c r="D5" s="176"/>
      <c r="E5" s="176"/>
      <c r="F5" s="181"/>
      <c r="G5" s="181"/>
      <c r="L5" s="7"/>
      <c r="M5" s="7"/>
      <c r="N5" s="7"/>
    </row>
    <row r="6" spans="1:14">
      <c r="A6" s="176" t="s">
        <v>65</v>
      </c>
      <c r="B6" s="176"/>
      <c r="C6" s="176"/>
      <c r="D6" s="176"/>
      <c r="E6" s="176"/>
      <c r="F6" s="176"/>
      <c r="G6" s="176"/>
      <c r="L6" s="5"/>
      <c r="N6" s="5"/>
    </row>
    <row r="7" spans="1:14" ht="16" thickBot="1">
      <c r="A7" s="79" t="s">
        <v>19</v>
      </c>
      <c r="B7" s="79"/>
      <c r="C7" s="79"/>
      <c r="D7" s="79"/>
      <c r="E7" s="79"/>
      <c r="F7" s="79"/>
      <c r="G7" s="79" t="s">
        <v>19</v>
      </c>
      <c r="L7" s="5"/>
      <c r="N7" s="5"/>
    </row>
    <row r="8" spans="1:14" s="2" customFormat="1">
      <c r="A8" s="81" t="s">
        <v>67</v>
      </c>
      <c r="B8" s="8" t="s">
        <v>21</v>
      </c>
      <c r="C8" s="96" t="s">
        <v>34</v>
      </c>
      <c r="D8" s="96" t="s">
        <v>22</v>
      </c>
      <c r="E8" s="96" t="s">
        <v>23</v>
      </c>
      <c r="F8" s="97" t="s">
        <v>32</v>
      </c>
      <c r="G8" s="81" t="s">
        <v>67</v>
      </c>
    </row>
    <row r="9" spans="1:14">
      <c r="A9" s="3"/>
      <c r="B9" s="22"/>
      <c r="C9" s="13"/>
      <c r="D9" s="22"/>
      <c r="E9" s="22"/>
      <c r="F9" s="92"/>
      <c r="G9" s="3"/>
      <c r="L9" s="5"/>
      <c r="N9" s="5"/>
    </row>
    <row r="10" spans="1:14">
      <c r="A10" s="3">
        <v>1</v>
      </c>
      <c r="B10" s="22" t="s">
        <v>38</v>
      </c>
      <c r="C10" s="9">
        <f>'Marg F&amp;LD Cost Cal'!E31</f>
        <v>414.06574823008566</v>
      </c>
      <c r="D10" s="10" t="s">
        <v>24</v>
      </c>
      <c r="E10" s="22"/>
      <c r="F10" s="92"/>
      <c r="G10" s="3">
        <f>A10</f>
        <v>1</v>
      </c>
      <c r="I10" s="11"/>
      <c r="J10" s="12"/>
      <c r="L10" s="5"/>
      <c r="N10" s="5"/>
    </row>
    <row r="11" spans="1:14">
      <c r="A11" s="3">
        <f>A10+1</f>
        <v>2</v>
      </c>
      <c r="B11" s="22"/>
      <c r="C11" s="13"/>
      <c r="D11" s="10"/>
      <c r="E11" s="22"/>
      <c r="F11" s="92"/>
      <c r="G11" s="3">
        <f>G10+1</f>
        <v>2</v>
      </c>
      <c r="L11" s="5"/>
      <c r="N11" s="5"/>
    </row>
    <row r="12" spans="1:14">
      <c r="A12" s="62">
        <f t="shared" ref="A12:A26" si="0">A11+1</f>
        <v>3</v>
      </c>
      <c r="B12" s="24" t="s">
        <v>39</v>
      </c>
      <c r="C12" s="13">
        <f>C10*$F12</f>
        <v>12.047216308486458</v>
      </c>
      <c r="D12" s="23" t="s">
        <v>24</v>
      </c>
      <c r="E12" s="24" t="s">
        <v>46</v>
      </c>
      <c r="F12" s="94">
        <f>Inputs!C9</f>
        <v>2.9094935671404847E-2</v>
      </c>
      <c r="G12" s="62">
        <f t="shared" ref="G12:G26" si="1">G11+1</f>
        <v>3</v>
      </c>
      <c r="I12" s="11"/>
      <c r="J12" s="12"/>
      <c r="L12" s="5"/>
      <c r="N12" s="5"/>
    </row>
    <row r="13" spans="1:14">
      <c r="A13" s="62">
        <f t="shared" si="0"/>
        <v>4</v>
      </c>
      <c r="B13" s="24"/>
      <c r="C13" s="13"/>
      <c r="D13" s="23"/>
      <c r="E13" s="24"/>
      <c r="F13" s="93"/>
      <c r="G13" s="62">
        <f t="shared" si="1"/>
        <v>4</v>
      </c>
      <c r="L13" s="5"/>
      <c r="N13" s="5"/>
    </row>
    <row r="14" spans="1:14">
      <c r="A14" s="134">
        <f t="shared" si="0"/>
        <v>5</v>
      </c>
      <c r="B14" s="24" t="s">
        <v>108</v>
      </c>
      <c r="C14" s="13">
        <f>C10*F14</f>
        <v>8.259576512819633</v>
      </c>
      <c r="D14" s="23" t="s">
        <v>24</v>
      </c>
      <c r="E14" s="24" t="s">
        <v>46</v>
      </c>
      <c r="F14" s="94">
        <f>Inputs!C10</f>
        <v>1.99475E-2</v>
      </c>
      <c r="G14" s="134">
        <f t="shared" si="1"/>
        <v>5</v>
      </c>
      <c r="L14" s="5"/>
      <c r="N14" s="5"/>
    </row>
    <row r="15" spans="1:14">
      <c r="A15" s="134">
        <f t="shared" si="0"/>
        <v>6</v>
      </c>
      <c r="B15" s="24"/>
      <c r="C15" s="13"/>
      <c r="D15" s="23"/>
      <c r="E15" s="24"/>
      <c r="F15" s="93"/>
      <c r="G15" s="134">
        <f t="shared" si="1"/>
        <v>6</v>
      </c>
      <c r="L15" s="5"/>
      <c r="N15" s="5"/>
    </row>
    <row r="16" spans="1:14">
      <c r="A16" s="134">
        <f t="shared" si="0"/>
        <v>7</v>
      </c>
      <c r="B16" s="24" t="s">
        <v>40</v>
      </c>
      <c r="C16" s="13">
        <f>SUM(C10:C14)</f>
        <v>434.37254105139175</v>
      </c>
      <c r="D16" s="23" t="s">
        <v>24</v>
      </c>
      <c r="E16" s="24" t="s">
        <v>109</v>
      </c>
      <c r="F16" s="93"/>
      <c r="G16" s="134">
        <f t="shared" si="1"/>
        <v>7</v>
      </c>
      <c r="I16" s="11"/>
      <c r="J16" s="12"/>
      <c r="L16" s="5"/>
      <c r="N16" s="5"/>
    </row>
    <row r="17" spans="1:14">
      <c r="A17" s="129">
        <f t="shared" si="0"/>
        <v>8</v>
      </c>
      <c r="B17" s="24"/>
      <c r="C17" s="13"/>
      <c r="D17" s="23"/>
      <c r="E17" s="24"/>
      <c r="F17" s="93"/>
      <c r="G17" s="134">
        <f t="shared" si="1"/>
        <v>8</v>
      </c>
      <c r="L17" s="5"/>
      <c r="N17" s="5"/>
    </row>
    <row r="18" spans="1:14">
      <c r="A18" s="62">
        <f t="shared" si="0"/>
        <v>9</v>
      </c>
      <c r="B18" s="24" t="s">
        <v>41</v>
      </c>
      <c r="C18" s="13">
        <f>C16*$F18</f>
        <v>31.199582773084831</v>
      </c>
      <c r="D18" s="23" t="s">
        <v>25</v>
      </c>
      <c r="E18" s="24" t="s">
        <v>48</v>
      </c>
      <c r="F18" s="94">
        <f>Inputs!C15</f>
        <v>7.182678421054596E-2</v>
      </c>
      <c r="G18" s="134">
        <f t="shared" si="1"/>
        <v>9</v>
      </c>
      <c r="H18" s="12"/>
      <c r="I18" s="11"/>
      <c r="J18" s="12"/>
      <c r="L18" s="5"/>
      <c r="N18" s="5"/>
    </row>
    <row r="19" spans="1:14">
      <c r="A19" s="62">
        <f t="shared" si="0"/>
        <v>10</v>
      </c>
      <c r="B19" s="24"/>
      <c r="C19" s="13"/>
      <c r="D19" s="23"/>
      <c r="E19" s="24"/>
      <c r="F19" s="93"/>
      <c r="G19" s="62">
        <f t="shared" si="1"/>
        <v>10</v>
      </c>
      <c r="H19" s="12"/>
      <c r="L19" s="5"/>
      <c r="N19" s="5"/>
    </row>
    <row r="20" spans="1:14">
      <c r="A20" s="62">
        <f t="shared" si="0"/>
        <v>11</v>
      </c>
      <c r="B20" s="24" t="s">
        <v>42</v>
      </c>
      <c r="C20" s="13">
        <f>C18*$F20</f>
        <v>0.53787215136252597</v>
      </c>
      <c r="D20" s="23" t="s">
        <v>25</v>
      </c>
      <c r="E20" s="24" t="s">
        <v>49</v>
      </c>
      <c r="F20" s="94">
        <f>Inputs!C13</f>
        <v>1.7239722571756183E-2</v>
      </c>
      <c r="G20" s="62">
        <f t="shared" si="1"/>
        <v>11</v>
      </c>
      <c r="H20" s="12"/>
      <c r="I20" s="11"/>
      <c r="J20" s="12"/>
      <c r="L20" s="5"/>
      <c r="N20" s="5"/>
    </row>
    <row r="21" spans="1:14">
      <c r="A21" s="62">
        <f t="shared" si="0"/>
        <v>12</v>
      </c>
      <c r="B21" s="24"/>
      <c r="C21" s="13"/>
      <c r="D21" s="23"/>
      <c r="E21" s="24"/>
      <c r="F21" s="93"/>
      <c r="G21" s="62">
        <f t="shared" si="1"/>
        <v>12</v>
      </c>
      <c r="H21" s="12"/>
      <c r="L21" s="5"/>
      <c r="N21" s="5"/>
    </row>
    <row r="22" spans="1:14">
      <c r="A22" s="62">
        <f t="shared" si="0"/>
        <v>13</v>
      </c>
      <c r="B22" s="24" t="s">
        <v>43</v>
      </c>
      <c r="C22" s="100">
        <v>16.657455409345065</v>
      </c>
      <c r="D22" s="23" t="s">
        <v>25</v>
      </c>
      <c r="E22" s="24" t="s">
        <v>26</v>
      </c>
      <c r="F22" s="93"/>
      <c r="G22" s="62">
        <f t="shared" si="1"/>
        <v>13</v>
      </c>
      <c r="H22" s="12"/>
      <c r="I22" s="11"/>
      <c r="J22" s="12"/>
      <c r="K22" s="147"/>
      <c r="L22" s="5"/>
      <c r="N22" s="5"/>
    </row>
    <row r="23" spans="1:14">
      <c r="A23" s="62">
        <f t="shared" si="0"/>
        <v>14</v>
      </c>
      <c r="B23" s="24"/>
      <c r="C23" s="13"/>
      <c r="D23" s="23"/>
      <c r="E23" s="24"/>
      <c r="F23" s="93"/>
      <c r="G23" s="62">
        <f t="shared" si="1"/>
        <v>14</v>
      </c>
      <c r="H23" s="12"/>
      <c r="L23" s="5"/>
      <c r="N23" s="5"/>
    </row>
    <row r="24" spans="1:14">
      <c r="A24" s="62">
        <f t="shared" si="0"/>
        <v>15</v>
      </c>
      <c r="B24" s="24" t="s">
        <v>44</v>
      </c>
      <c r="C24" s="13">
        <f>C22*$F24</f>
        <v>6.5344736470600244</v>
      </c>
      <c r="D24" s="23" t="s">
        <v>25</v>
      </c>
      <c r="E24" s="24" t="s">
        <v>50</v>
      </c>
      <c r="F24" s="94">
        <f>Inputs!C12</f>
        <v>0.39228522523278636</v>
      </c>
      <c r="G24" s="62">
        <f t="shared" si="1"/>
        <v>15</v>
      </c>
      <c r="H24" s="12"/>
      <c r="I24" s="11"/>
      <c r="J24" s="12"/>
      <c r="L24" s="5"/>
      <c r="N24" s="5"/>
    </row>
    <row r="25" spans="1:14">
      <c r="A25" s="62">
        <f t="shared" si="0"/>
        <v>16</v>
      </c>
      <c r="B25" s="24"/>
      <c r="C25" s="13"/>
      <c r="D25" s="23"/>
      <c r="E25" s="24"/>
      <c r="F25" s="93"/>
      <c r="G25" s="62">
        <f t="shared" si="1"/>
        <v>16</v>
      </c>
      <c r="H25" s="12"/>
      <c r="L25" s="5"/>
      <c r="N25" s="5"/>
    </row>
    <row r="26" spans="1:14" ht="16" thickBot="1">
      <c r="A26" s="62">
        <f t="shared" si="0"/>
        <v>17</v>
      </c>
      <c r="B26" s="19" t="s">
        <v>45</v>
      </c>
      <c r="C26" s="25">
        <f>F26*(C18+C20)+C22+C24</f>
        <v>57.631639873940216</v>
      </c>
      <c r="D26" s="26" t="s">
        <v>25</v>
      </c>
      <c r="E26" s="19" t="s">
        <v>51</v>
      </c>
      <c r="F26" s="95">
        <f>Inputs!C19</f>
        <v>1.085144063993809</v>
      </c>
      <c r="G26" s="62">
        <f t="shared" si="1"/>
        <v>17</v>
      </c>
      <c r="H26" s="12"/>
      <c r="I26" s="11"/>
      <c r="J26" s="12"/>
      <c r="L26" s="5"/>
      <c r="N26" s="5"/>
    </row>
    <row r="27" spans="1:14">
      <c r="K27" s="6"/>
      <c r="M27" s="6"/>
    </row>
    <row r="28" spans="1:14">
      <c r="A28" s="29" t="s">
        <v>79</v>
      </c>
      <c r="B28" s="53"/>
      <c r="K28" s="6"/>
      <c r="M28" s="6"/>
    </row>
    <row r="29" spans="1:14">
      <c r="B29" s="101" t="s">
        <v>157</v>
      </c>
      <c r="J29" s="12"/>
      <c r="K29" s="6"/>
      <c r="M29" s="6"/>
    </row>
    <row r="30" spans="1:14">
      <c r="B30" s="101" t="s">
        <v>80</v>
      </c>
      <c r="K30" s="6"/>
      <c r="M30" s="6"/>
    </row>
    <row r="31" spans="1:14" s="6" customFormat="1">
      <c r="A31" s="5"/>
      <c r="B31" s="53" t="s">
        <v>81</v>
      </c>
      <c r="C31" s="5"/>
      <c r="D31" s="5"/>
      <c r="E31" s="5"/>
      <c r="F31" s="5"/>
      <c r="G31" s="5"/>
      <c r="H31" s="5"/>
      <c r="I31" s="5"/>
      <c r="J31" s="5"/>
    </row>
    <row r="32" spans="1:14">
      <c r="B32" s="101" t="s">
        <v>86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1" orientation="landscape" r:id="rId1"/>
  <headerFooter alignWithMargins="0">
    <oddFooter>&amp;L&amp;F  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L32"/>
  <sheetViews>
    <sheetView topLeftCell="A5" zoomScaleNormal="100" workbookViewId="0">
      <selection sqref="A1:G1"/>
    </sheetView>
  </sheetViews>
  <sheetFormatPr defaultColWidth="8.81640625" defaultRowHeight="15.5"/>
  <cols>
    <col min="1" max="1" width="10.7265625" style="5" customWidth="1"/>
    <col min="2" max="2" width="49.81640625" style="5" customWidth="1"/>
    <col min="3" max="3" width="11" style="5" customWidth="1"/>
    <col min="4" max="4" width="11.453125" style="5" customWidth="1"/>
    <col min="5" max="5" width="24.7265625" style="5" customWidth="1"/>
    <col min="6" max="6" width="11.26953125" style="5" customWidth="1"/>
    <col min="7" max="7" width="10.7265625" style="5" customWidth="1"/>
    <col min="8" max="10" width="8.81640625" style="5" customWidth="1"/>
    <col min="11" max="11" width="10" style="5" bestFit="1" customWidth="1"/>
    <col min="12" max="12" width="19.7265625" style="5" customWidth="1"/>
    <col min="13" max="13" width="9.81640625" style="5" bestFit="1" customWidth="1"/>
    <col min="14" max="16384" width="8.81640625" style="5"/>
  </cols>
  <sheetData>
    <row r="1" spans="1:12">
      <c r="A1" s="176" t="str">
        <f>'Marg Distrib Demand Cost Sum'!A1:E1</f>
        <v>SAN DIEGO GAS &amp; ELECTRIC COMPANY ("SDG&amp;E")</v>
      </c>
      <c r="B1" s="176"/>
      <c r="C1" s="176"/>
      <c r="D1" s="176"/>
      <c r="E1" s="176"/>
      <c r="F1" s="181"/>
      <c r="G1" s="181"/>
      <c r="K1" s="6"/>
      <c r="L1" s="6"/>
    </row>
    <row r="2" spans="1:12">
      <c r="A2" s="176" t="str">
        <f>'Marg Distrib Demand Cost Sum'!A2:E2</f>
        <v>TEST YEAR ("TY") 2019 GENERAL RATE CASE ("GRC") PHASE 2, APPLICATION ("A.") 19-03-002</v>
      </c>
      <c r="B2" s="176"/>
      <c r="C2" s="176"/>
      <c r="D2" s="176"/>
      <c r="E2" s="176"/>
      <c r="F2" s="181"/>
      <c r="G2" s="181"/>
      <c r="K2" s="6"/>
      <c r="L2" s="6"/>
    </row>
    <row r="3" spans="1:12">
      <c r="A3" s="176" t="str">
        <f>'Marg Distrib Demand Cost Sum'!A3:E3</f>
        <v>MARGINAL DISTRIBUTION DEMAND COST WORKPAPER - CHAPTER 5 (SAXE) - REBUTTAL</v>
      </c>
      <c r="B3" s="176"/>
      <c r="C3" s="176"/>
      <c r="D3" s="176"/>
      <c r="E3" s="176"/>
      <c r="F3" s="181"/>
      <c r="G3" s="181"/>
      <c r="K3" s="6"/>
      <c r="L3" s="6"/>
    </row>
    <row r="4" spans="1:12">
      <c r="A4" s="70"/>
      <c r="B4" s="70"/>
      <c r="C4" s="70"/>
      <c r="D4" s="70"/>
      <c r="E4" s="70"/>
      <c r="F4" s="71"/>
      <c r="G4" s="71"/>
      <c r="K4" s="6"/>
      <c r="L4" s="6"/>
    </row>
    <row r="5" spans="1:12">
      <c r="A5" s="176" t="s">
        <v>103</v>
      </c>
      <c r="B5" s="176"/>
      <c r="C5" s="176"/>
      <c r="D5" s="176"/>
      <c r="E5" s="176"/>
      <c r="F5" s="181"/>
      <c r="G5" s="181"/>
      <c r="L5" s="2"/>
    </row>
    <row r="6" spans="1:12">
      <c r="A6" s="176" t="s">
        <v>65</v>
      </c>
      <c r="B6" s="176"/>
      <c r="C6" s="176"/>
      <c r="D6" s="176"/>
      <c r="E6" s="176"/>
      <c r="F6" s="176"/>
      <c r="G6" s="176"/>
    </row>
    <row r="7" spans="1:12" ht="16" thickBot="1">
      <c r="A7" s="79" t="s">
        <v>19</v>
      </c>
      <c r="B7" s="79"/>
      <c r="C7" s="79"/>
      <c r="D7" s="79"/>
      <c r="E7" s="79"/>
      <c r="F7" s="79"/>
      <c r="G7" s="79" t="s">
        <v>19</v>
      </c>
    </row>
    <row r="8" spans="1:12" s="2" customFormat="1">
      <c r="A8" s="81" t="s">
        <v>67</v>
      </c>
      <c r="B8" s="8" t="s">
        <v>21</v>
      </c>
      <c r="C8" s="96" t="s">
        <v>34</v>
      </c>
      <c r="D8" s="96" t="s">
        <v>22</v>
      </c>
      <c r="E8" s="96" t="s">
        <v>23</v>
      </c>
      <c r="F8" s="96" t="s">
        <v>33</v>
      </c>
      <c r="G8" s="81" t="s">
        <v>67</v>
      </c>
    </row>
    <row r="9" spans="1:12">
      <c r="A9" s="3"/>
      <c r="B9" s="22"/>
      <c r="C9" s="13"/>
      <c r="D9" s="22"/>
      <c r="E9" s="22"/>
      <c r="F9" s="22"/>
      <c r="G9" s="3"/>
    </row>
    <row r="10" spans="1:12">
      <c r="A10" s="3">
        <v>1</v>
      </c>
      <c r="B10" s="22" t="s">
        <v>38</v>
      </c>
      <c r="C10" s="9">
        <f>'Marg Substation Cost Cal'!E31</f>
        <v>240.25970937772834</v>
      </c>
      <c r="D10" s="10" t="s">
        <v>24</v>
      </c>
      <c r="E10" s="22"/>
      <c r="F10" s="22"/>
      <c r="G10" s="3">
        <f>A10</f>
        <v>1</v>
      </c>
      <c r="I10" s="11"/>
      <c r="J10" s="12"/>
    </row>
    <row r="11" spans="1:12">
      <c r="A11" s="3">
        <f>A10+1</f>
        <v>2</v>
      </c>
      <c r="B11" s="22"/>
      <c r="C11" s="13"/>
      <c r="D11" s="10"/>
      <c r="E11" s="22"/>
      <c r="F11" s="22"/>
      <c r="G11" s="3">
        <f>G10+1</f>
        <v>2</v>
      </c>
      <c r="J11" s="12"/>
    </row>
    <row r="12" spans="1:12">
      <c r="A12" s="62">
        <f t="shared" ref="A12:A26" si="0">A11+1</f>
        <v>3</v>
      </c>
      <c r="B12" s="24" t="s">
        <v>39</v>
      </c>
      <c r="C12" s="13">
        <f>C10*$F12</f>
        <v>6.9903407887754296</v>
      </c>
      <c r="D12" s="23" t="s">
        <v>24</v>
      </c>
      <c r="E12" s="24" t="s">
        <v>46</v>
      </c>
      <c r="F12" s="63">
        <f>Inputs!C9</f>
        <v>2.9094935671404847E-2</v>
      </c>
      <c r="G12" s="62">
        <f t="shared" ref="G12:G26" si="1">G11+1</f>
        <v>3</v>
      </c>
      <c r="I12" s="11"/>
      <c r="J12" s="12"/>
    </row>
    <row r="13" spans="1:12">
      <c r="A13" s="134">
        <f t="shared" si="0"/>
        <v>4</v>
      </c>
      <c r="B13" s="24"/>
      <c r="C13" s="13"/>
      <c r="D13" s="23"/>
      <c r="E13" s="24"/>
      <c r="F13" s="63"/>
      <c r="G13" s="134">
        <f t="shared" si="1"/>
        <v>4</v>
      </c>
      <c r="I13" s="11"/>
      <c r="J13" s="12"/>
    </row>
    <row r="14" spans="1:12">
      <c r="A14" s="134">
        <f t="shared" si="0"/>
        <v>5</v>
      </c>
      <c r="B14" s="24" t="s">
        <v>108</v>
      </c>
      <c r="C14" s="13">
        <f>C10*F14</f>
        <v>4.792580552812236</v>
      </c>
      <c r="D14" s="23" t="s">
        <v>24</v>
      </c>
      <c r="E14" s="24" t="s">
        <v>46</v>
      </c>
      <c r="F14" s="94">
        <f>Inputs!C10</f>
        <v>1.99475E-2</v>
      </c>
      <c r="G14" s="134">
        <f t="shared" si="1"/>
        <v>5</v>
      </c>
      <c r="I14" s="11"/>
      <c r="J14" s="12"/>
    </row>
    <row r="15" spans="1:12">
      <c r="A15" s="134">
        <f t="shared" si="0"/>
        <v>6</v>
      </c>
      <c r="B15" s="24"/>
      <c r="C15" s="13"/>
      <c r="D15" s="23"/>
      <c r="E15" s="24"/>
      <c r="F15" s="24"/>
      <c r="G15" s="134">
        <f t="shared" si="1"/>
        <v>6</v>
      </c>
      <c r="J15" s="12"/>
    </row>
    <row r="16" spans="1:12">
      <c r="A16" s="134">
        <f t="shared" si="0"/>
        <v>7</v>
      </c>
      <c r="B16" s="24" t="s">
        <v>40</v>
      </c>
      <c r="C16" s="13">
        <f>SUM(C10:C15)</f>
        <v>252.04263071931601</v>
      </c>
      <c r="D16" s="23" t="s">
        <v>24</v>
      </c>
      <c r="E16" s="24" t="s">
        <v>47</v>
      </c>
      <c r="F16" s="24"/>
      <c r="G16" s="134">
        <f t="shared" si="1"/>
        <v>7</v>
      </c>
      <c r="I16" s="11"/>
      <c r="J16" s="12"/>
    </row>
    <row r="17" spans="1:12">
      <c r="A17" s="134">
        <f t="shared" si="0"/>
        <v>8</v>
      </c>
      <c r="B17" s="24"/>
      <c r="C17" s="13"/>
      <c r="D17" s="23"/>
      <c r="E17" s="24"/>
      <c r="F17" s="24"/>
      <c r="G17" s="134">
        <f t="shared" si="1"/>
        <v>8</v>
      </c>
      <c r="J17" s="12"/>
    </row>
    <row r="18" spans="1:12">
      <c r="A18" s="129">
        <f t="shared" si="0"/>
        <v>9</v>
      </c>
      <c r="B18" s="24" t="s">
        <v>41</v>
      </c>
      <c r="C18" s="13">
        <f>C16*$F18</f>
        <v>17.799714475186551</v>
      </c>
      <c r="D18" s="23" t="s">
        <v>25</v>
      </c>
      <c r="E18" s="24" t="s">
        <v>48</v>
      </c>
      <c r="F18" s="63">
        <f>Inputs!C14</f>
        <v>7.0621840537004127E-2</v>
      </c>
      <c r="G18" s="129">
        <f t="shared" si="1"/>
        <v>9</v>
      </c>
      <c r="H18" s="12"/>
      <c r="I18" s="11"/>
      <c r="J18" s="12"/>
    </row>
    <row r="19" spans="1:12">
      <c r="A19" s="62">
        <f t="shared" si="0"/>
        <v>10</v>
      </c>
      <c r="B19" s="24"/>
      <c r="C19" s="13"/>
      <c r="D19" s="23"/>
      <c r="E19" s="24"/>
      <c r="F19" s="24"/>
      <c r="G19" s="129">
        <f t="shared" si="1"/>
        <v>10</v>
      </c>
      <c r="H19" s="12"/>
      <c r="J19" s="12"/>
    </row>
    <row r="20" spans="1:12">
      <c r="A20" s="62">
        <f t="shared" si="0"/>
        <v>11</v>
      </c>
      <c r="B20" s="24" t="s">
        <v>42</v>
      </c>
      <c r="C20" s="13">
        <f>C18*$F20</f>
        <v>0.30686213940868884</v>
      </c>
      <c r="D20" s="23" t="s">
        <v>25</v>
      </c>
      <c r="E20" s="24" t="s">
        <v>49</v>
      </c>
      <c r="F20" s="63">
        <f>Inputs!C13</f>
        <v>1.7239722571756183E-2</v>
      </c>
      <c r="G20" s="129">
        <f t="shared" si="1"/>
        <v>11</v>
      </c>
      <c r="H20" s="12"/>
      <c r="I20" s="11"/>
      <c r="J20" s="12"/>
    </row>
    <row r="21" spans="1:12">
      <c r="A21" s="62">
        <f t="shared" si="0"/>
        <v>12</v>
      </c>
      <c r="B21" s="24"/>
      <c r="C21" s="13"/>
      <c r="D21" s="23"/>
      <c r="E21" s="24"/>
      <c r="F21" s="24"/>
      <c r="G21" s="129">
        <f t="shared" si="1"/>
        <v>12</v>
      </c>
      <c r="H21" s="12"/>
      <c r="J21" s="12"/>
    </row>
    <row r="22" spans="1:12">
      <c r="A22" s="62">
        <f t="shared" si="0"/>
        <v>13</v>
      </c>
      <c r="B22" s="24" t="s">
        <v>43</v>
      </c>
      <c r="C22" s="100">
        <v>3.8848146437028674</v>
      </c>
      <c r="D22" s="23" t="s">
        <v>25</v>
      </c>
      <c r="E22" s="24" t="s">
        <v>26</v>
      </c>
      <c r="F22" s="24"/>
      <c r="G22" s="129">
        <f t="shared" si="1"/>
        <v>13</v>
      </c>
      <c r="H22" s="12"/>
      <c r="I22" s="11"/>
      <c r="J22" s="12"/>
      <c r="K22" s="147"/>
    </row>
    <row r="23" spans="1:12">
      <c r="A23" s="62">
        <f t="shared" si="0"/>
        <v>14</v>
      </c>
      <c r="B23" s="24"/>
      <c r="C23" s="13"/>
      <c r="D23" s="23"/>
      <c r="E23" s="24"/>
      <c r="F23" s="24"/>
      <c r="G23" s="129">
        <f t="shared" si="1"/>
        <v>14</v>
      </c>
      <c r="H23" s="12"/>
      <c r="J23" s="12"/>
    </row>
    <row r="24" spans="1:12">
      <c r="A24" s="62">
        <f t="shared" si="0"/>
        <v>15</v>
      </c>
      <c r="B24" s="24" t="s">
        <v>44</v>
      </c>
      <c r="C24" s="13">
        <f>C22*$F24</f>
        <v>1.523955387492606</v>
      </c>
      <c r="D24" s="23" t="s">
        <v>25</v>
      </c>
      <c r="E24" s="24" t="s">
        <v>50</v>
      </c>
      <c r="F24" s="63">
        <f>Inputs!C12</f>
        <v>0.39228522523278636</v>
      </c>
      <c r="G24" s="129">
        <f t="shared" si="1"/>
        <v>15</v>
      </c>
      <c r="H24" s="12"/>
      <c r="I24" s="11"/>
      <c r="J24" s="12"/>
    </row>
    <row r="25" spans="1:12">
      <c r="A25" s="62">
        <f t="shared" si="0"/>
        <v>16</v>
      </c>
      <c r="B25" s="24"/>
      <c r="C25" s="13"/>
      <c r="D25" s="23"/>
      <c r="E25" s="24"/>
      <c r="F25" s="24"/>
      <c r="G25" s="129">
        <f t="shared" si="1"/>
        <v>16</v>
      </c>
      <c r="H25" s="12"/>
      <c r="J25" s="12"/>
    </row>
    <row r="26" spans="1:12" ht="16" thickBot="1">
      <c r="A26" s="62">
        <f t="shared" si="0"/>
        <v>17</v>
      </c>
      <c r="B26" s="19" t="s">
        <v>45</v>
      </c>
      <c r="C26" s="25">
        <f>F26*(C18+C20)+C22+C24</f>
        <v>25.057014163772617</v>
      </c>
      <c r="D26" s="26" t="s">
        <v>25</v>
      </c>
      <c r="E26" s="19" t="s">
        <v>51</v>
      </c>
      <c r="F26" s="61">
        <f>Inputs!C19</f>
        <v>1.085144063993809</v>
      </c>
      <c r="G26" s="129">
        <f t="shared" si="1"/>
        <v>17</v>
      </c>
      <c r="H26" s="147"/>
      <c r="I26" s="11"/>
      <c r="J26" s="12"/>
    </row>
    <row r="27" spans="1:12">
      <c r="K27" s="6"/>
      <c r="L27" s="6"/>
    </row>
    <row r="28" spans="1:12">
      <c r="A28" s="102" t="s">
        <v>79</v>
      </c>
      <c r="B28" s="53"/>
      <c r="D28" s="27"/>
      <c r="K28" s="6"/>
      <c r="L28" s="6"/>
    </row>
    <row r="29" spans="1:12">
      <c r="B29" s="101" t="s">
        <v>158</v>
      </c>
      <c r="K29" s="6"/>
      <c r="L29" s="6"/>
    </row>
    <row r="30" spans="1:12">
      <c r="B30" s="101" t="s">
        <v>82</v>
      </c>
      <c r="K30" s="6"/>
      <c r="L30" s="6"/>
    </row>
    <row r="31" spans="1:12">
      <c r="B31" s="53" t="s">
        <v>81</v>
      </c>
    </row>
    <row r="32" spans="1:12">
      <c r="B32" s="101" t="s">
        <v>86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T38"/>
  <sheetViews>
    <sheetView zoomScaleNormal="100" workbookViewId="0">
      <selection activeCell="F24" sqref="F24"/>
    </sheetView>
  </sheetViews>
  <sheetFormatPr defaultColWidth="9.1796875" defaultRowHeight="13"/>
  <cols>
    <col min="1" max="1" width="5.7265625" style="28" customWidth="1"/>
    <col min="2" max="2" width="10.7265625" style="28" customWidth="1"/>
    <col min="3" max="4" width="15.7265625" style="29" customWidth="1"/>
    <col min="5" max="5" width="17.7265625" style="29" customWidth="1"/>
    <col min="6" max="6" width="17.54296875" style="29" customWidth="1"/>
    <col min="7" max="7" width="5.7265625" style="30" customWidth="1"/>
    <col min="8" max="8" width="5.54296875" style="29" customWidth="1"/>
    <col min="9" max="9" width="6" style="29" bestFit="1" customWidth="1"/>
    <col min="10" max="10" width="5" style="29" bestFit="1" customWidth="1"/>
    <col min="11" max="11" width="9.1796875" style="29"/>
    <col min="12" max="13" width="12.26953125" style="29" bestFit="1" customWidth="1"/>
    <col min="14" max="16384" width="9.1796875" style="29"/>
  </cols>
  <sheetData>
    <row r="1" spans="1:20">
      <c r="A1" s="182" t="str">
        <f>'Marg Distrib Demand Cost Sum'!A1:E1</f>
        <v>SAN DIEGO GAS &amp; ELECTRIC COMPANY ("SDG&amp;E")</v>
      </c>
      <c r="B1" s="182"/>
      <c r="C1" s="182"/>
      <c r="D1" s="182"/>
      <c r="E1" s="182"/>
      <c r="F1" s="182"/>
      <c r="G1" s="182"/>
      <c r="H1" s="69"/>
      <c r="I1" s="69"/>
      <c r="J1" s="69"/>
    </row>
    <row r="2" spans="1:20">
      <c r="A2" s="182" t="str">
        <f>'Marg Distrib Demand Cost Sum'!A2:E2</f>
        <v>TEST YEAR ("TY") 2019 GENERAL RATE CASE ("GRC") PHASE 2, APPLICATION ("A.") 19-03-002</v>
      </c>
      <c r="B2" s="182"/>
      <c r="C2" s="182"/>
      <c r="D2" s="182"/>
      <c r="E2" s="182"/>
      <c r="F2" s="182"/>
      <c r="G2" s="182"/>
      <c r="H2" s="52"/>
      <c r="I2" s="52"/>
      <c r="J2" s="52"/>
    </row>
    <row r="3" spans="1:20">
      <c r="A3" s="182" t="str">
        <f>'Marg Distrib Demand Cost Sum'!A3:E3</f>
        <v>MARGINAL DISTRIBUTION DEMAND COST WORKPAPER - CHAPTER 5 (SAXE) - REBUTTAL</v>
      </c>
      <c r="B3" s="182"/>
      <c r="C3" s="182"/>
      <c r="D3" s="182"/>
      <c r="E3" s="182"/>
      <c r="F3" s="182"/>
      <c r="G3" s="182"/>
      <c r="H3" s="52"/>
      <c r="I3" s="52"/>
      <c r="J3" s="52"/>
    </row>
    <row r="4" spans="1:20">
      <c r="A4" s="116"/>
      <c r="B4" s="116"/>
      <c r="C4" s="116"/>
      <c r="D4" s="116"/>
      <c r="E4" s="116"/>
      <c r="F4" s="116"/>
      <c r="G4" s="116"/>
      <c r="H4" s="52"/>
      <c r="I4" s="52"/>
      <c r="J4" s="52"/>
    </row>
    <row r="5" spans="1:20">
      <c r="A5" s="182" t="s">
        <v>88</v>
      </c>
      <c r="B5" s="182"/>
      <c r="C5" s="182"/>
      <c r="D5" s="182"/>
      <c r="E5" s="182"/>
      <c r="F5" s="182"/>
      <c r="G5" s="182"/>
      <c r="H5" s="52"/>
      <c r="I5" s="52"/>
      <c r="J5" s="52"/>
    </row>
    <row r="6" spans="1:20">
      <c r="A6" s="116"/>
      <c r="B6" s="116"/>
      <c r="C6" s="116"/>
      <c r="D6" s="116"/>
      <c r="E6" s="116"/>
      <c r="F6" s="116"/>
      <c r="G6" s="116"/>
      <c r="H6" s="52"/>
      <c r="I6" s="52"/>
      <c r="J6" s="52"/>
    </row>
    <row r="7" spans="1:20" ht="13.5" thickBot="1"/>
    <row r="8" spans="1:20" s="33" customFormat="1" ht="26">
      <c r="A8" s="31" t="s">
        <v>19</v>
      </c>
      <c r="B8" s="32" t="s">
        <v>20</v>
      </c>
      <c r="C8" s="75" t="s">
        <v>28</v>
      </c>
      <c r="D8" s="76" t="s">
        <v>30</v>
      </c>
      <c r="E8" s="77" t="s">
        <v>31</v>
      </c>
      <c r="F8" s="78" t="s">
        <v>63</v>
      </c>
      <c r="G8" s="31" t="s">
        <v>19</v>
      </c>
    </row>
    <row r="9" spans="1:20" s="33" customFormat="1">
      <c r="A9" s="139" t="s">
        <v>67</v>
      </c>
      <c r="B9" s="140" t="s">
        <v>3</v>
      </c>
      <c r="C9" s="141" t="s">
        <v>4</v>
      </c>
      <c r="D9" s="142" t="s">
        <v>6</v>
      </c>
      <c r="E9" s="143" t="s">
        <v>5</v>
      </c>
      <c r="F9" s="144" t="s">
        <v>114</v>
      </c>
      <c r="G9" s="139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116">
        <v>1</v>
      </c>
      <c r="B11" s="34">
        <v>2005</v>
      </c>
      <c r="C11" s="103">
        <v>0.57737108402008819</v>
      </c>
      <c r="D11" s="107">
        <v>5143.1492422108822</v>
      </c>
      <c r="E11" s="138">
        <v>38.017639258722738</v>
      </c>
      <c r="F11" s="125">
        <f>'Distrib Capital Historic Data'!C$28/C11</f>
        <v>69154.469460757478</v>
      </c>
      <c r="G11" s="116">
        <f t="shared" ref="G11:G22" si="0">A11</f>
        <v>1</v>
      </c>
      <c r="H11" s="59"/>
      <c r="I11" s="59"/>
      <c r="K11" s="119"/>
      <c r="L11" s="59"/>
      <c r="M11" s="59"/>
      <c r="N11" s="59"/>
      <c r="O11" s="59"/>
      <c r="P11" s="59"/>
      <c r="Q11" s="59"/>
      <c r="R11" s="59"/>
      <c r="S11" s="59"/>
      <c r="T11" s="59"/>
    </row>
    <row r="12" spans="1:20">
      <c r="A12" s="116">
        <f t="shared" ref="A12:B28" si="1">A11+1</f>
        <v>2</v>
      </c>
      <c r="B12" s="34">
        <f t="shared" si="1"/>
        <v>2006</v>
      </c>
      <c r="C12" s="103">
        <v>0.63789596438100715</v>
      </c>
      <c r="D12" s="107">
        <v>5278.5439592348039</v>
      </c>
      <c r="E12" s="117">
        <f t="shared" ref="E12:E25" si="2">D12-D11+E11</f>
        <v>173.4123562826444</v>
      </c>
      <c r="F12" s="125">
        <f>'Distrib Capital Historic Data'!D$28/C12+F11</f>
        <v>125455.66017002489</v>
      </c>
      <c r="G12" s="116">
        <f t="shared" si="0"/>
        <v>2</v>
      </c>
      <c r="H12" s="59"/>
      <c r="I12" s="59"/>
      <c r="K12" s="119"/>
      <c r="L12" s="59"/>
      <c r="M12" s="59"/>
      <c r="N12" s="59"/>
      <c r="O12" s="59"/>
      <c r="P12" s="59"/>
      <c r="Q12" s="59"/>
      <c r="R12" s="59"/>
      <c r="S12" s="59"/>
      <c r="T12" s="59"/>
    </row>
    <row r="13" spans="1:20">
      <c r="A13" s="116">
        <f t="shared" si="1"/>
        <v>3</v>
      </c>
      <c r="B13" s="34">
        <f t="shared" si="1"/>
        <v>2007</v>
      </c>
      <c r="C13" s="103">
        <v>0.70372768774804451</v>
      </c>
      <c r="D13" s="107">
        <v>5417.8970381562167</v>
      </c>
      <c r="E13" s="117">
        <f t="shared" si="2"/>
        <v>312.76543520405721</v>
      </c>
      <c r="F13" s="125">
        <f>'Distrib Capital Historic Data'!E$28/C13+F12</f>
        <v>191059.56739292873</v>
      </c>
      <c r="G13" s="116">
        <f t="shared" si="0"/>
        <v>3</v>
      </c>
      <c r="H13" s="59"/>
      <c r="I13" s="59"/>
      <c r="K13" s="119"/>
      <c r="L13" s="59"/>
      <c r="M13" s="59"/>
      <c r="N13" s="59"/>
      <c r="O13" s="59"/>
      <c r="P13" s="59"/>
      <c r="Q13" s="59"/>
      <c r="R13" s="59"/>
      <c r="S13" s="59"/>
      <c r="T13" s="59"/>
    </row>
    <row r="14" spans="1:20">
      <c r="A14" s="116">
        <f t="shared" si="1"/>
        <v>4</v>
      </c>
      <c r="B14" s="34">
        <f t="shared" si="1"/>
        <v>2008</v>
      </c>
      <c r="C14" s="103">
        <v>0.76888765883582644</v>
      </c>
      <c r="D14" s="107">
        <v>5716.9216345862469</v>
      </c>
      <c r="E14" s="117">
        <f t="shared" si="2"/>
        <v>611.79003163408743</v>
      </c>
      <c r="F14" s="125">
        <f>'Distrib Capital Historic Data'!F$28/C14+F13</f>
        <v>237746.2970519131</v>
      </c>
      <c r="G14" s="116">
        <f t="shared" si="0"/>
        <v>4</v>
      </c>
      <c r="H14" s="59"/>
      <c r="I14" s="59"/>
      <c r="K14" s="119"/>
      <c r="L14" s="59"/>
      <c r="M14" s="59"/>
      <c r="N14" s="59"/>
      <c r="O14" s="59"/>
      <c r="P14" s="59"/>
      <c r="Q14" s="59"/>
      <c r="R14" s="59"/>
      <c r="S14" s="59"/>
      <c r="T14" s="59"/>
    </row>
    <row r="15" spans="1:20">
      <c r="A15" s="116">
        <f t="shared" si="1"/>
        <v>5</v>
      </c>
      <c r="B15" s="34">
        <f t="shared" si="1"/>
        <v>2009</v>
      </c>
      <c r="C15" s="103">
        <v>0.78662191900817124</v>
      </c>
      <c r="D15" s="107">
        <v>5821.7059718234659</v>
      </c>
      <c r="E15" s="117">
        <f t="shared" si="2"/>
        <v>716.57436887130643</v>
      </c>
      <c r="F15" s="125">
        <f>'Distrib Capital Historic Data'!G$28/C15+F14</f>
        <v>285491.3467470468</v>
      </c>
      <c r="G15" s="116">
        <f t="shared" si="0"/>
        <v>5</v>
      </c>
      <c r="H15" s="59"/>
      <c r="I15" s="59"/>
      <c r="K15" s="119"/>
      <c r="L15" s="59"/>
      <c r="M15" s="59"/>
      <c r="N15" s="59"/>
      <c r="O15" s="59"/>
      <c r="P15" s="59"/>
      <c r="Q15" s="59"/>
      <c r="R15" s="59"/>
      <c r="S15" s="59"/>
      <c r="T15" s="59"/>
    </row>
    <row r="16" spans="1:20">
      <c r="A16" s="116">
        <f t="shared" si="1"/>
        <v>6</v>
      </c>
      <c r="B16" s="34">
        <f t="shared" si="1"/>
        <v>2010</v>
      </c>
      <c r="C16" s="103">
        <v>0.81926907977998764</v>
      </c>
      <c r="D16" s="107">
        <v>5853.8634616552472</v>
      </c>
      <c r="E16" s="117">
        <f t="shared" si="2"/>
        <v>748.73185870308771</v>
      </c>
      <c r="F16" s="125">
        <f>'Distrib Capital Historic Data'!H$28/C16+F15</f>
        <v>312399.11136723519</v>
      </c>
      <c r="G16" s="116">
        <f t="shared" si="0"/>
        <v>6</v>
      </c>
      <c r="H16" s="59"/>
      <c r="I16" s="59"/>
      <c r="K16" s="119"/>
      <c r="L16" s="59"/>
      <c r="M16" s="59"/>
      <c r="N16" s="59"/>
      <c r="O16" s="59"/>
      <c r="P16" s="59"/>
      <c r="Q16" s="59"/>
      <c r="R16" s="59"/>
      <c r="S16" s="59"/>
      <c r="T16" s="59"/>
    </row>
    <row r="17" spans="1:20">
      <c r="A17" s="116">
        <f t="shared" si="1"/>
        <v>7</v>
      </c>
      <c r="B17" s="34">
        <f t="shared" si="1"/>
        <v>2011</v>
      </c>
      <c r="C17" s="103">
        <v>0.85446889921297509</v>
      </c>
      <c r="D17" s="107">
        <v>5899.6305400243764</v>
      </c>
      <c r="E17" s="117">
        <f t="shared" si="2"/>
        <v>794.4989370722169</v>
      </c>
      <c r="F17" s="125">
        <f>'Distrib Capital Historic Data'!I$28/C17+F16</f>
        <v>334563.46286831127</v>
      </c>
      <c r="G17" s="116">
        <f t="shared" si="0"/>
        <v>7</v>
      </c>
      <c r="H17" s="59"/>
      <c r="I17" s="59"/>
      <c r="K17" s="119"/>
      <c r="L17" s="59"/>
      <c r="M17" s="59"/>
      <c r="N17" s="59"/>
      <c r="O17" s="59"/>
      <c r="P17" s="59"/>
      <c r="Q17" s="59"/>
      <c r="R17" s="59"/>
      <c r="S17" s="59"/>
      <c r="T17" s="59"/>
    </row>
    <row r="18" spans="1:20">
      <c r="A18" s="116">
        <f t="shared" si="1"/>
        <v>8</v>
      </c>
      <c r="B18" s="34">
        <f t="shared" si="1"/>
        <v>2012</v>
      </c>
      <c r="C18" s="103">
        <v>0.88402599950021632</v>
      </c>
      <c r="D18" s="107">
        <v>5922.1317673446392</v>
      </c>
      <c r="E18" s="117">
        <f t="shared" si="2"/>
        <v>817.00016439247975</v>
      </c>
      <c r="F18" s="125">
        <f>'Distrib Capital Historic Data'!J$28/C18+F17</f>
        <v>361257.55588861607</v>
      </c>
      <c r="G18" s="116">
        <f t="shared" si="0"/>
        <v>8</v>
      </c>
      <c r="H18" s="59"/>
      <c r="I18" s="59"/>
      <c r="K18" s="119"/>
      <c r="L18" s="59"/>
      <c r="M18" s="59"/>
      <c r="N18" s="59"/>
      <c r="O18" s="59"/>
      <c r="P18" s="59"/>
      <c r="Q18" s="59"/>
      <c r="R18" s="59"/>
      <c r="S18" s="59"/>
      <c r="T18" s="59"/>
    </row>
    <row r="19" spans="1:20">
      <c r="A19" s="116">
        <f t="shared" si="1"/>
        <v>9</v>
      </c>
      <c r="B19" s="34">
        <f t="shared" si="1"/>
        <v>2013</v>
      </c>
      <c r="C19" s="103">
        <v>0.91593423276485186</v>
      </c>
      <c r="D19" s="107">
        <v>5923.6394627432928</v>
      </c>
      <c r="E19" s="117">
        <f t="shared" si="2"/>
        <v>818.50785979113334</v>
      </c>
      <c r="F19" s="125">
        <f>'Distrib Capital Historic Data'!K$28/C19+F18</f>
        <v>384869.59182068054</v>
      </c>
      <c r="G19" s="116">
        <f t="shared" si="0"/>
        <v>9</v>
      </c>
      <c r="H19" s="59"/>
      <c r="I19" s="59"/>
      <c r="K19" s="119"/>
      <c r="L19" s="59"/>
      <c r="M19" s="59"/>
      <c r="N19" s="59"/>
      <c r="O19" s="59"/>
      <c r="P19" s="59"/>
      <c r="Q19" s="59"/>
      <c r="R19" s="59"/>
      <c r="S19" s="59"/>
      <c r="T19" s="59"/>
    </row>
    <row r="20" spans="1:20">
      <c r="A20" s="116">
        <f t="shared" si="1"/>
        <v>10</v>
      </c>
      <c r="B20" s="34">
        <f t="shared" si="1"/>
        <v>2014</v>
      </c>
      <c r="C20" s="103">
        <v>0.94414782849358214</v>
      </c>
      <c r="D20" s="107">
        <v>5946.9883396673695</v>
      </c>
      <c r="E20" s="117">
        <f t="shared" si="2"/>
        <v>841.85673671520999</v>
      </c>
      <c r="F20" s="125">
        <f>'Distrib Capital Historic Data'!L$28/C20+F19</f>
        <v>402502.02466547221</v>
      </c>
      <c r="G20" s="116">
        <f t="shared" si="0"/>
        <v>10</v>
      </c>
      <c r="H20" s="59"/>
      <c r="I20" s="59"/>
      <c r="K20" s="119"/>
      <c r="L20" s="59"/>
      <c r="M20" s="59"/>
      <c r="N20" s="59"/>
      <c r="O20" s="59"/>
      <c r="P20" s="59"/>
      <c r="Q20" s="59"/>
      <c r="R20" s="59"/>
      <c r="S20" s="59"/>
      <c r="T20" s="59"/>
    </row>
    <row r="21" spans="1:20">
      <c r="A21" s="116">
        <f t="shared" si="1"/>
        <v>11</v>
      </c>
      <c r="B21" s="34">
        <f t="shared" si="1"/>
        <v>2015</v>
      </c>
      <c r="C21" s="103">
        <v>0.9669874059882686</v>
      </c>
      <c r="D21" s="107">
        <v>5690.795224001683</v>
      </c>
      <c r="E21" s="117">
        <f t="shared" si="2"/>
        <v>585.6636210495235</v>
      </c>
      <c r="F21" s="125">
        <f>'Distrib Capital Historic Data'!M$28/C21+F20</f>
        <v>423951.04131781176</v>
      </c>
      <c r="G21" s="116">
        <f t="shared" si="0"/>
        <v>11</v>
      </c>
      <c r="H21" s="59"/>
      <c r="I21" s="59"/>
      <c r="K21" s="119"/>
      <c r="L21" s="59"/>
      <c r="M21" s="59"/>
      <c r="N21" s="59"/>
      <c r="O21" s="59"/>
      <c r="P21" s="59"/>
      <c r="Q21" s="59"/>
      <c r="R21" s="59"/>
      <c r="S21" s="59"/>
      <c r="T21" s="59"/>
    </row>
    <row r="22" spans="1:20">
      <c r="A22" s="116">
        <f t="shared" si="1"/>
        <v>12</v>
      </c>
      <c r="B22" s="34">
        <f t="shared" si="1"/>
        <v>2016</v>
      </c>
      <c r="C22" s="103">
        <v>0.98043736447397778</v>
      </c>
      <c r="D22" s="107">
        <v>6018.6017804320354</v>
      </c>
      <c r="E22" s="117">
        <f t="shared" si="2"/>
        <v>913.47017747987593</v>
      </c>
      <c r="F22" s="125">
        <f>'Distrib Capital Historic Data'!N$28/C22+F21</f>
        <v>444174.0922312031</v>
      </c>
      <c r="G22" s="116">
        <f t="shared" si="0"/>
        <v>12</v>
      </c>
      <c r="H22" s="59"/>
      <c r="I22" s="59"/>
      <c r="K22" s="119"/>
      <c r="L22" s="59"/>
      <c r="M22" s="59"/>
      <c r="N22" s="59"/>
      <c r="O22" s="59"/>
      <c r="P22" s="59"/>
      <c r="Q22" s="59"/>
      <c r="R22" s="59"/>
      <c r="S22" s="59"/>
      <c r="T22" s="59"/>
    </row>
    <row r="23" spans="1:20">
      <c r="A23" s="121">
        <f t="shared" ref="A23" si="3">A22+1</f>
        <v>13</v>
      </c>
      <c r="B23" s="34">
        <f t="shared" ref="B23" si="4">B22+1</f>
        <v>2017</v>
      </c>
      <c r="C23" s="103">
        <v>1</v>
      </c>
      <c r="D23" s="107">
        <v>5767.1857357031058</v>
      </c>
      <c r="E23" s="117">
        <f t="shared" si="2"/>
        <v>662.05413275094634</v>
      </c>
      <c r="F23" s="125">
        <f>'Distrib Capital Actual Data'!C50/C23+F22</f>
        <v>457083.22591308382</v>
      </c>
      <c r="G23" s="121">
        <f t="shared" ref="G23:G31" si="5">A23</f>
        <v>13</v>
      </c>
      <c r="H23" s="59"/>
      <c r="I23" s="59"/>
      <c r="K23" s="119"/>
      <c r="L23" s="59"/>
      <c r="M23" s="59"/>
      <c r="N23" s="59"/>
      <c r="O23" s="59"/>
      <c r="P23" s="59"/>
      <c r="Q23" s="59"/>
      <c r="R23" s="59"/>
      <c r="S23" s="59"/>
      <c r="T23" s="59"/>
    </row>
    <row r="24" spans="1:20">
      <c r="A24" s="121">
        <f t="shared" ref="A24" si="6">A23+1</f>
        <v>14</v>
      </c>
      <c r="B24" s="34">
        <f t="shared" ref="B24" si="7">B23+1</f>
        <v>2018</v>
      </c>
      <c r="C24" s="103">
        <v>1.0241883217209757</v>
      </c>
      <c r="D24" s="107">
        <v>5923.1535000000003</v>
      </c>
      <c r="E24" s="117">
        <f t="shared" si="2"/>
        <v>818.02189704784087</v>
      </c>
      <c r="F24" s="125">
        <f>'Distrib Capital Actual Data'!D50/C24+F23</f>
        <v>463479.47180005355</v>
      </c>
      <c r="G24" s="121">
        <f t="shared" si="5"/>
        <v>14</v>
      </c>
      <c r="H24" s="59"/>
      <c r="I24" s="59"/>
      <c r="K24" s="119"/>
      <c r="L24" s="59"/>
      <c r="M24" s="59"/>
      <c r="N24" s="59"/>
      <c r="O24" s="59"/>
      <c r="P24" s="59"/>
      <c r="Q24" s="59"/>
      <c r="R24" s="59"/>
      <c r="S24" s="59"/>
      <c r="T24" s="59"/>
    </row>
    <row r="25" spans="1:20">
      <c r="A25" s="121">
        <f t="shared" ref="A25" si="8">A24+1</f>
        <v>15</v>
      </c>
      <c r="B25" s="34">
        <f t="shared" ref="B25" si="9">B24+1</f>
        <v>2019</v>
      </c>
      <c r="C25" s="103">
        <v>1.0535842014611958</v>
      </c>
      <c r="D25" s="107">
        <v>5882.6767</v>
      </c>
      <c r="E25" s="117">
        <f t="shared" si="2"/>
        <v>777.5450970478405</v>
      </c>
      <c r="F25" s="125">
        <f>'Distrib Capital Actual Data'!E50/C25+F24</f>
        <v>474721.35207323631</v>
      </c>
      <c r="G25" s="121">
        <f t="shared" si="5"/>
        <v>15</v>
      </c>
      <c r="H25" s="59"/>
      <c r="I25" s="59"/>
      <c r="K25" s="119"/>
      <c r="L25" s="59"/>
      <c r="M25" s="59"/>
      <c r="N25" s="59"/>
      <c r="O25" s="59"/>
      <c r="P25" s="59"/>
      <c r="Q25" s="59"/>
      <c r="R25" s="59"/>
      <c r="S25" s="59"/>
      <c r="T25" s="59"/>
    </row>
    <row r="26" spans="1:20" ht="13.5" thickBot="1">
      <c r="A26" s="121">
        <f t="shared" ref="A26" si="10">A25+1</f>
        <v>16</v>
      </c>
      <c r="B26" s="40"/>
      <c r="C26" s="41"/>
      <c r="D26" s="42"/>
      <c r="E26" s="43"/>
      <c r="F26" s="42"/>
      <c r="G26" s="121">
        <f t="shared" si="5"/>
        <v>16</v>
      </c>
      <c r="H26" s="35"/>
      <c r="I26" s="35"/>
      <c r="L26" s="59"/>
      <c r="M26" s="59"/>
      <c r="N26" s="59"/>
      <c r="O26" s="59"/>
      <c r="P26" s="59"/>
      <c r="Q26" s="59"/>
      <c r="R26" s="59"/>
      <c r="S26" s="59"/>
      <c r="T26" s="59"/>
    </row>
    <row r="27" spans="1:20">
      <c r="A27" s="116">
        <f t="shared" si="1"/>
        <v>17</v>
      </c>
      <c r="B27" s="44"/>
      <c r="C27" s="35"/>
      <c r="F27" s="30"/>
      <c r="G27" s="121">
        <f t="shared" si="5"/>
        <v>17</v>
      </c>
    </row>
    <row r="28" spans="1:20">
      <c r="A28" s="116">
        <f t="shared" si="1"/>
        <v>18</v>
      </c>
      <c r="B28" s="44"/>
      <c r="C28" s="44"/>
      <c r="D28" s="44"/>
      <c r="E28" s="30"/>
      <c r="F28" s="30"/>
      <c r="G28" s="121">
        <f t="shared" si="5"/>
        <v>18</v>
      </c>
    </row>
    <row r="29" spans="1:20">
      <c r="A29" s="116">
        <f t="shared" ref="A29:A31" si="11">A28+1</f>
        <v>19</v>
      </c>
      <c r="B29" s="28" t="s">
        <v>121</v>
      </c>
      <c r="G29" s="121">
        <f t="shared" si="5"/>
        <v>19</v>
      </c>
    </row>
    <row r="30" spans="1:20">
      <c r="A30" s="116">
        <f t="shared" si="11"/>
        <v>20</v>
      </c>
      <c r="G30" s="121">
        <f t="shared" si="5"/>
        <v>20</v>
      </c>
    </row>
    <row r="31" spans="1:20">
      <c r="A31" s="116">
        <f t="shared" si="11"/>
        <v>21</v>
      </c>
      <c r="C31" s="29" t="s">
        <v>52</v>
      </c>
      <c r="E31" s="45">
        <f>SLOPE(F11:F25,E11:E25)</f>
        <v>414.06574823008566</v>
      </c>
      <c r="G31" s="121">
        <f t="shared" si="5"/>
        <v>21</v>
      </c>
      <c r="H31" s="45"/>
    </row>
    <row r="32" spans="1:20">
      <c r="E32" s="127" t="s">
        <v>115</v>
      </c>
      <c r="H32" s="118"/>
    </row>
    <row r="33" spans="1:6">
      <c r="A33" s="28" t="s">
        <v>79</v>
      </c>
      <c r="B33" s="99"/>
    </row>
    <row r="34" spans="1:6">
      <c r="B34" s="99" t="s">
        <v>95</v>
      </c>
    </row>
    <row r="35" spans="1:6">
      <c r="B35" s="99" t="s">
        <v>97</v>
      </c>
    </row>
    <row r="36" spans="1:6">
      <c r="B36" s="99" t="s">
        <v>90</v>
      </c>
      <c r="C36" s="28"/>
      <c r="D36" s="28"/>
      <c r="E36" s="28"/>
      <c r="F36" s="28"/>
    </row>
    <row r="37" spans="1:6">
      <c r="B37" s="99" t="s">
        <v>91</v>
      </c>
      <c r="C37" s="28"/>
      <c r="D37" s="28"/>
      <c r="E37" s="28"/>
      <c r="F37" s="28"/>
    </row>
    <row r="38" spans="1:6">
      <c r="B38" s="101" t="s">
        <v>86</v>
      </c>
    </row>
  </sheetData>
  <mergeCells count="4">
    <mergeCell ref="A1:G1"/>
    <mergeCell ref="A2:G2"/>
    <mergeCell ref="A3:G3"/>
    <mergeCell ref="A5:G5"/>
  </mergeCells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T38"/>
  <sheetViews>
    <sheetView topLeftCell="A7" zoomScaleNormal="100" workbookViewId="0">
      <selection activeCell="F25" sqref="F25"/>
    </sheetView>
  </sheetViews>
  <sheetFormatPr defaultColWidth="9.1796875" defaultRowHeight="13"/>
  <cols>
    <col min="1" max="1" width="5.7265625" style="28" customWidth="1"/>
    <col min="2" max="2" width="10.7265625" style="28" customWidth="1"/>
    <col min="3" max="3" width="15.7265625" style="29" customWidth="1"/>
    <col min="4" max="4" width="15.81640625" style="29" customWidth="1"/>
    <col min="5" max="5" width="17.7265625" style="29" customWidth="1"/>
    <col min="6" max="6" width="17.54296875" style="29" bestFit="1" customWidth="1"/>
    <col min="7" max="7" width="5.7265625" style="30" customWidth="1"/>
    <col min="8" max="8" width="11" style="29" customWidth="1"/>
    <col min="9" max="9" width="7.26953125" style="29" customWidth="1"/>
    <col min="10" max="10" width="5" style="29" bestFit="1" customWidth="1"/>
    <col min="11" max="11" width="9.1796875" style="29"/>
    <col min="12" max="13" width="12.26953125" style="29" bestFit="1" customWidth="1"/>
    <col min="14" max="16384" width="9.1796875" style="29"/>
  </cols>
  <sheetData>
    <row r="1" spans="1:20">
      <c r="A1" s="182" t="str">
        <f>'Marg Distrib Demand Cost Sum'!A1:E1</f>
        <v>SAN DIEGO GAS &amp; ELECTRIC COMPANY ("SDG&amp;E")</v>
      </c>
      <c r="B1" s="182"/>
      <c r="C1" s="182"/>
      <c r="D1" s="182"/>
      <c r="E1" s="182"/>
      <c r="F1" s="182"/>
      <c r="G1" s="182"/>
      <c r="H1" s="69"/>
      <c r="I1" s="69"/>
      <c r="J1" s="69"/>
    </row>
    <row r="2" spans="1:20">
      <c r="A2" s="182" t="str">
        <f>'Marg Distrib Demand Cost Sum'!A2:E2</f>
        <v>TEST YEAR ("TY") 2019 GENERAL RATE CASE ("GRC") PHASE 2, APPLICATION ("A.") 19-03-002</v>
      </c>
      <c r="B2" s="182"/>
      <c r="C2" s="182"/>
      <c r="D2" s="182"/>
      <c r="E2" s="182"/>
      <c r="F2" s="182"/>
      <c r="G2" s="182"/>
      <c r="H2" s="52"/>
      <c r="I2" s="52"/>
      <c r="J2" s="52"/>
    </row>
    <row r="3" spans="1:20">
      <c r="A3" s="182" t="str">
        <f>'Marg Distrib Demand Cost Sum'!A3:E3</f>
        <v>MARGINAL DISTRIBUTION DEMAND COST WORKPAPER - CHAPTER 5 (SAXE) - REBUTTAL</v>
      </c>
      <c r="B3" s="182"/>
      <c r="C3" s="182"/>
      <c r="D3" s="182"/>
      <c r="E3" s="182"/>
      <c r="F3" s="182"/>
      <c r="G3" s="182"/>
      <c r="H3" s="52"/>
      <c r="I3" s="52"/>
      <c r="J3" s="52"/>
    </row>
    <row r="4" spans="1:20">
      <c r="A4" s="72"/>
      <c r="B4" s="72"/>
      <c r="C4" s="72"/>
      <c r="D4" s="72"/>
      <c r="E4" s="72"/>
      <c r="F4" s="72"/>
      <c r="G4" s="72"/>
      <c r="H4" s="52"/>
      <c r="I4" s="52"/>
      <c r="J4" s="52"/>
    </row>
    <row r="5" spans="1:20">
      <c r="A5" s="182" t="s">
        <v>87</v>
      </c>
      <c r="B5" s="182"/>
      <c r="C5" s="182"/>
      <c r="D5" s="182"/>
      <c r="E5" s="182"/>
      <c r="F5" s="182"/>
      <c r="G5" s="182"/>
      <c r="H5" s="52"/>
      <c r="I5" s="52"/>
      <c r="J5" s="52"/>
    </row>
    <row r="6" spans="1:20">
      <c r="A6" s="73"/>
      <c r="B6" s="73"/>
      <c r="C6" s="73"/>
      <c r="D6" s="73"/>
      <c r="E6" s="73"/>
      <c r="F6" s="73"/>
      <c r="G6" s="73"/>
      <c r="H6" s="52"/>
      <c r="I6" s="52"/>
      <c r="J6" s="52"/>
    </row>
    <row r="7" spans="1:20" ht="13.5" thickBot="1"/>
    <row r="8" spans="1:20" s="33" customFormat="1" ht="26">
      <c r="A8" s="31" t="s">
        <v>19</v>
      </c>
      <c r="B8" s="32" t="s">
        <v>20</v>
      </c>
      <c r="C8" s="75" t="s">
        <v>28</v>
      </c>
      <c r="D8" s="76" t="s">
        <v>30</v>
      </c>
      <c r="E8" s="77" t="s">
        <v>31</v>
      </c>
      <c r="F8" s="78" t="s">
        <v>64</v>
      </c>
      <c r="G8" s="31" t="s">
        <v>19</v>
      </c>
    </row>
    <row r="9" spans="1:20" s="33" customFormat="1">
      <c r="A9" s="139" t="s">
        <v>67</v>
      </c>
      <c r="B9" s="140" t="s">
        <v>3</v>
      </c>
      <c r="C9" s="141" t="s">
        <v>4</v>
      </c>
      <c r="D9" s="142" t="s">
        <v>6</v>
      </c>
      <c r="E9" s="143" t="s">
        <v>5</v>
      </c>
      <c r="F9" s="144" t="s">
        <v>114</v>
      </c>
      <c r="G9" s="139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38">
        <v>1</v>
      </c>
      <c r="B11" s="34">
        <v>2005</v>
      </c>
      <c r="C11" s="103">
        <v>0.57737108402008819</v>
      </c>
      <c r="D11" s="107">
        <v>4707.2423811417138</v>
      </c>
      <c r="E11" s="137">
        <v>32.393673507139283</v>
      </c>
      <c r="F11" s="68">
        <f>'Distrib Capital Historic Data'!C$31/C11</f>
        <v>16993.439928938675</v>
      </c>
      <c r="G11" s="38">
        <f t="shared" ref="G11:G31" si="0">A11</f>
        <v>1</v>
      </c>
      <c r="H11" s="149"/>
      <c r="I11" s="119"/>
      <c r="L11" s="59"/>
      <c r="M11" s="59"/>
      <c r="N11" s="59"/>
      <c r="O11" s="59"/>
      <c r="P11" s="59"/>
      <c r="Q11" s="59"/>
      <c r="R11" s="59"/>
      <c r="S11" s="59"/>
      <c r="T11" s="59"/>
    </row>
    <row r="12" spans="1:20">
      <c r="A12" s="38">
        <f t="shared" ref="A12:B22" si="1">A11+1</f>
        <v>2</v>
      </c>
      <c r="B12" s="34">
        <f t="shared" si="1"/>
        <v>2006</v>
      </c>
      <c r="C12" s="103">
        <v>0.63789596438100715</v>
      </c>
      <c r="D12" s="107">
        <v>4789.1688370585653</v>
      </c>
      <c r="E12" s="117">
        <f t="shared" ref="E12" si="2">D12-D11+E11</f>
        <v>114.32012942399069</v>
      </c>
      <c r="F12" s="68">
        <f>'Distrib Capital Historic Data'!D$31/C12+F11</f>
        <v>29385.787236596007</v>
      </c>
      <c r="G12" s="38">
        <f t="shared" si="0"/>
        <v>2</v>
      </c>
      <c r="H12" s="149"/>
      <c r="I12" s="119"/>
      <c r="L12" s="59"/>
      <c r="M12" s="59"/>
      <c r="N12" s="59"/>
      <c r="O12" s="59"/>
      <c r="P12" s="59"/>
      <c r="Q12" s="59"/>
      <c r="R12" s="59"/>
      <c r="S12" s="59"/>
      <c r="T12" s="59"/>
    </row>
    <row r="13" spans="1:20">
      <c r="A13" s="38">
        <f t="shared" si="1"/>
        <v>3</v>
      </c>
      <c r="B13" s="34">
        <f t="shared" si="1"/>
        <v>2007</v>
      </c>
      <c r="C13" s="103">
        <v>0.70372768774804451</v>
      </c>
      <c r="D13" s="107">
        <v>4972.812252960257</v>
      </c>
      <c r="E13" s="39">
        <f t="shared" ref="E13:E25" si="3">D13-D12+E12</f>
        <v>297.96354532568239</v>
      </c>
      <c r="F13" s="68">
        <f>'Distrib Capital Historic Data'!E$31/C13+F12</f>
        <v>44598.869953695757</v>
      </c>
      <c r="G13" s="38">
        <f t="shared" si="0"/>
        <v>3</v>
      </c>
      <c r="H13" s="149"/>
      <c r="I13" s="119"/>
      <c r="L13" s="59"/>
      <c r="M13" s="59"/>
      <c r="N13" s="59"/>
      <c r="O13" s="59"/>
      <c r="P13" s="59"/>
      <c r="Q13" s="59"/>
      <c r="R13" s="59"/>
      <c r="S13" s="59"/>
      <c r="T13" s="59"/>
    </row>
    <row r="14" spans="1:20">
      <c r="A14" s="38">
        <f t="shared" si="1"/>
        <v>4</v>
      </c>
      <c r="B14" s="34">
        <f t="shared" si="1"/>
        <v>2008</v>
      </c>
      <c r="C14" s="103">
        <v>0.76888765883582644</v>
      </c>
      <c r="D14" s="107">
        <v>5149.5179412499883</v>
      </c>
      <c r="E14" s="39">
        <f t="shared" si="3"/>
        <v>474.66923361541376</v>
      </c>
      <c r="F14" s="68">
        <f>'Distrib Capital Historic Data'!F$31/C14+F13</f>
        <v>54348.948032123466</v>
      </c>
      <c r="G14" s="38">
        <f t="shared" si="0"/>
        <v>4</v>
      </c>
      <c r="H14" s="149"/>
      <c r="I14" s="119"/>
      <c r="L14" s="59"/>
      <c r="M14" s="59"/>
      <c r="N14" s="59"/>
      <c r="O14" s="59"/>
      <c r="P14" s="59"/>
      <c r="Q14" s="59"/>
      <c r="R14" s="59"/>
      <c r="S14" s="59"/>
      <c r="T14" s="59"/>
    </row>
    <row r="15" spans="1:20">
      <c r="A15" s="38">
        <f t="shared" si="1"/>
        <v>5</v>
      </c>
      <c r="B15" s="34">
        <f t="shared" si="1"/>
        <v>2009</v>
      </c>
      <c r="C15" s="103">
        <v>0.78662191900817124</v>
      </c>
      <c r="D15" s="107">
        <v>5223.4533136453647</v>
      </c>
      <c r="E15" s="39">
        <f t="shared" si="3"/>
        <v>548.60460601079012</v>
      </c>
      <c r="F15" s="68">
        <f>'Distrib Capital Historic Data'!G$31/C15+F14</f>
        <v>69911.344952526371</v>
      </c>
      <c r="G15" s="38">
        <f t="shared" si="0"/>
        <v>5</v>
      </c>
      <c r="H15" s="149"/>
      <c r="I15" s="119"/>
      <c r="L15" s="59"/>
      <c r="M15" s="59"/>
      <c r="N15" s="59"/>
      <c r="O15" s="59"/>
      <c r="P15" s="59"/>
      <c r="Q15" s="59"/>
      <c r="R15" s="59"/>
      <c r="S15" s="59"/>
      <c r="T15" s="59"/>
    </row>
    <row r="16" spans="1:20">
      <c r="A16" s="38">
        <f t="shared" si="1"/>
        <v>6</v>
      </c>
      <c r="B16" s="34">
        <f t="shared" si="1"/>
        <v>2010</v>
      </c>
      <c r="C16" s="103">
        <v>0.81926907977998764</v>
      </c>
      <c r="D16" s="107">
        <v>5243.4832983025826</v>
      </c>
      <c r="E16" s="39">
        <f t="shared" si="3"/>
        <v>568.63459066800806</v>
      </c>
      <c r="F16" s="68">
        <f>'Distrib Capital Historic Data'!H$31/C16+F15</f>
        <v>86203.149213514975</v>
      </c>
      <c r="G16" s="38">
        <f t="shared" si="0"/>
        <v>6</v>
      </c>
      <c r="H16" s="149"/>
      <c r="I16" s="119"/>
      <c r="L16" s="59"/>
      <c r="M16" s="59"/>
      <c r="N16" s="59"/>
      <c r="O16" s="59"/>
      <c r="P16" s="59"/>
      <c r="Q16" s="59"/>
      <c r="R16" s="59"/>
      <c r="S16" s="59"/>
      <c r="T16" s="59"/>
    </row>
    <row r="17" spans="1:20">
      <c r="A17" s="38">
        <f t="shared" si="1"/>
        <v>7</v>
      </c>
      <c r="B17" s="34">
        <f t="shared" si="1"/>
        <v>2011</v>
      </c>
      <c r="C17" s="103">
        <v>0.85446889921297509</v>
      </c>
      <c r="D17" s="107">
        <v>5311.4780850505058</v>
      </c>
      <c r="E17" s="39">
        <f t="shared" si="3"/>
        <v>636.62937741593123</v>
      </c>
      <c r="F17" s="68">
        <f>'Distrib Capital Historic Data'!I$31/C17+F16</f>
        <v>106750.53677770526</v>
      </c>
      <c r="G17" s="38">
        <f t="shared" si="0"/>
        <v>7</v>
      </c>
      <c r="H17" s="149"/>
      <c r="I17" s="119"/>
      <c r="L17" s="59"/>
      <c r="M17" s="59"/>
      <c r="N17" s="59"/>
      <c r="O17" s="59"/>
      <c r="P17" s="59"/>
      <c r="Q17" s="59"/>
      <c r="R17" s="59"/>
      <c r="S17" s="59"/>
      <c r="T17" s="59"/>
    </row>
    <row r="18" spans="1:20">
      <c r="A18" s="38">
        <f t="shared" si="1"/>
        <v>8</v>
      </c>
      <c r="B18" s="34">
        <f t="shared" si="1"/>
        <v>2012</v>
      </c>
      <c r="C18" s="103">
        <v>0.88402599950021632</v>
      </c>
      <c r="D18" s="107">
        <v>5301.2972958420478</v>
      </c>
      <c r="E18" s="39">
        <f t="shared" si="3"/>
        <v>626.44858820747322</v>
      </c>
      <c r="F18" s="68">
        <f>'Distrib Capital Historic Data'!J$31/C18+F17</f>
        <v>113882.01290065666</v>
      </c>
      <c r="G18" s="38">
        <f t="shared" si="0"/>
        <v>8</v>
      </c>
      <c r="H18" s="149"/>
      <c r="I18" s="119"/>
      <c r="L18" s="59"/>
      <c r="M18" s="59"/>
      <c r="N18" s="59"/>
      <c r="O18" s="59"/>
      <c r="P18" s="59"/>
      <c r="Q18" s="59"/>
      <c r="R18" s="59"/>
      <c r="S18" s="59"/>
      <c r="T18" s="59"/>
    </row>
    <row r="19" spans="1:20">
      <c r="A19" s="38">
        <f t="shared" si="1"/>
        <v>9</v>
      </c>
      <c r="B19" s="34">
        <f t="shared" si="1"/>
        <v>2013</v>
      </c>
      <c r="C19" s="103">
        <v>0.91593423276485186</v>
      </c>
      <c r="D19" s="107">
        <v>5284.735499859984</v>
      </c>
      <c r="E19" s="39">
        <f t="shared" si="3"/>
        <v>609.88679222540941</v>
      </c>
      <c r="F19" s="68">
        <f>'Distrib Capital Historic Data'!K$31/C19+F18</f>
        <v>128419.71990085635</v>
      </c>
      <c r="G19" s="38">
        <f t="shared" si="0"/>
        <v>9</v>
      </c>
      <c r="H19" s="149"/>
      <c r="I19" s="119"/>
      <c r="L19" s="59"/>
      <c r="M19" s="59"/>
      <c r="N19" s="59"/>
      <c r="O19" s="59"/>
      <c r="P19" s="59"/>
      <c r="Q19" s="59"/>
      <c r="R19" s="59"/>
      <c r="S19" s="59"/>
      <c r="T19" s="59"/>
    </row>
    <row r="20" spans="1:20">
      <c r="A20" s="38">
        <f t="shared" si="1"/>
        <v>10</v>
      </c>
      <c r="B20" s="34">
        <f t="shared" si="1"/>
        <v>2014</v>
      </c>
      <c r="C20" s="103">
        <v>0.94414782849358214</v>
      </c>
      <c r="D20" s="107">
        <v>5456.811183278016</v>
      </c>
      <c r="E20" s="39">
        <f t="shared" si="3"/>
        <v>781.96247564344139</v>
      </c>
      <c r="F20" s="68">
        <f>'Distrib Capital Historic Data'!L$31/C20+F19</f>
        <v>148747.89291982198</v>
      </c>
      <c r="G20" s="38">
        <f t="shared" si="0"/>
        <v>10</v>
      </c>
      <c r="H20" s="149"/>
      <c r="I20" s="119"/>
      <c r="L20" s="59"/>
      <c r="M20" s="59"/>
      <c r="N20" s="59"/>
      <c r="O20" s="59"/>
      <c r="P20" s="59"/>
      <c r="Q20" s="59"/>
      <c r="R20" s="59"/>
      <c r="S20" s="59"/>
      <c r="T20" s="59"/>
    </row>
    <row r="21" spans="1:20">
      <c r="A21" s="38">
        <f t="shared" si="1"/>
        <v>11</v>
      </c>
      <c r="B21" s="34">
        <f t="shared" si="1"/>
        <v>2015</v>
      </c>
      <c r="C21" s="103">
        <v>0.9669874059882686</v>
      </c>
      <c r="D21" s="107">
        <v>5300.1937029025785</v>
      </c>
      <c r="E21" s="39">
        <f t="shared" si="3"/>
        <v>625.34499526800391</v>
      </c>
      <c r="F21" s="68">
        <f>'Distrib Capital Historic Data'!M$31/C21+F20</f>
        <v>153475.82670001421</v>
      </c>
      <c r="G21" s="38">
        <f t="shared" si="0"/>
        <v>11</v>
      </c>
      <c r="H21" s="149"/>
      <c r="I21" s="119"/>
      <c r="L21" s="59"/>
      <c r="M21" s="59"/>
      <c r="N21" s="59"/>
      <c r="O21" s="59"/>
      <c r="P21" s="59"/>
      <c r="Q21" s="59"/>
      <c r="R21" s="59"/>
      <c r="S21" s="59"/>
      <c r="T21" s="59"/>
    </row>
    <row r="22" spans="1:20">
      <c r="A22" s="38">
        <f t="shared" si="1"/>
        <v>12</v>
      </c>
      <c r="B22" s="34">
        <f t="shared" si="1"/>
        <v>2016</v>
      </c>
      <c r="C22" s="103">
        <v>0.98043736447397778</v>
      </c>
      <c r="D22" s="107">
        <v>5487.8011096127584</v>
      </c>
      <c r="E22" s="39">
        <f t="shared" si="3"/>
        <v>812.95240197818384</v>
      </c>
      <c r="F22" s="68">
        <f>'Distrib Capital Historic Data'!N$31/C22+F21</f>
        <v>165397.79036536918</v>
      </c>
      <c r="G22" s="38">
        <f t="shared" si="0"/>
        <v>12</v>
      </c>
      <c r="H22" s="149"/>
      <c r="I22" s="119"/>
      <c r="K22" s="57"/>
      <c r="L22" s="59"/>
      <c r="M22" s="59"/>
      <c r="N22" s="59"/>
      <c r="O22" s="59"/>
      <c r="P22" s="59"/>
      <c r="Q22" s="59"/>
      <c r="R22" s="59"/>
      <c r="S22" s="59"/>
      <c r="T22" s="59"/>
    </row>
    <row r="23" spans="1:20">
      <c r="A23" s="120">
        <f t="shared" ref="A23" si="4">A22+1</f>
        <v>13</v>
      </c>
      <c r="B23" s="34">
        <f t="shared" ref="B23" si="5">B22+1</f>
        <v>2017</v>
      </c>
      <c r="C23" s="103">
        <v>1</v>
      </c>
      <c r="D23" s="107">
        <v>5221.3790977682511</v>
      </c>
      <c r="E23" s="39">
        <f t="shared" si="3"/>
        <v>546.53039013367652</v>
      </c>
      <c r="F23" s="68">
        <f>'Distrib Capital Actual Data'!C60/C23+F22</f>
        <v>203310.91371352767</v>
      </c>
      <c r="G23" s="121">
        <f t="shared" si="0"/>
        <v>13</v>
      </c>
      <c r="H23" s="149"/>
      <c r="I23" s="119"/>
      <c r="K23" s="57"/>
      <c r="L23" s="59"/>
      <c r="M23" s="59"/>
      <c r="N23" s="59"/>
      <c r="O23" s="59"/>
      <c r="P23" s="59"/>
      <c r="Q23" s="59"/>
      <c r="R23" s="59"/>
      <c r="S23" s="59"/>
      <c r="T23" s="59"/>
    </row>
    <row r="24" spans="1:20">
      <c r="A24" s="120">
        <f t="shared" ref="A24" si="6">A23+1</f>
        <v>14</v>
      </c>
      <c r="B24" s="34">
        <f t="shared" ref="B24" si="7">B23+1</f>
        <v>2018</v>
      </c>
      <c r="C24" s="103">
        <v>1.0241883217209757</v>
      </c>
      <c r="D24" s="107">
        <v>5352.1200000000008</v>
      </c>
      <c r="E24" s="39">
        <f t="shared" si="3"/>
        <v>677.27129236542623</v>
      </c>
      <c r="F24" s="68">
        <f>'Distrib Capital Actual Data'!D60/C24+F23</f>
        <v>236542.14335615348</v>
      </c>
      <c r="G24" s="121">
        <f t="shared" si="0"/>
        <v>14</v>
      </c>
      <c r="H24" s="149"/>
      <c r="I24" s="119"/>
      <c r="K24" s="57"/>
      <c r="L24" s="59"/>
      <c r="M24" s="59"/>
      <c r="N24" s="59"/>
      <c r="O24" s="59"/>
      <c r="P24" s="59"/>
      <c r="Q24" s="59"/>
      <c r="R24" s="59"/>
      <c r="S24" s="59"/>
      <c r="T24" s="59"/>
    </row>
    <row r="25" spans="1:20">
      <c r="A25" s="120">
        <f t="shared" ref="A25" si="8">A24+1</f>
        <v>15</v>
      </c>
      <c r="B25" s="34">
        <f t="shared" ref="B25" si="9">B24+1</f>
        <v>2019</v>
      </c>
      <c r="C25" s="103">
        <v>1.0535842014611958</v>
      </c>
      <c r="D25" s="107">
        <v>5360.8500000000013</v>
      </c>
      <c r="E25" s="39">
        <f t="shared" si="3"/>
        <v>686.00129236542671</v>
      </c>
      <c r="F25" s="68">
        <f>'Distrib Capital Actual Data'!E60/C25+F24</f>
        <v>254993.72091313466</v>
      </c>
      <c r="G25" s="121">
        <f t="shared" si="0"/>
        <v>15</v>
      </c>
      <c r="H25" s="149"/>
      <c r="I25" s="119"/>
      <c r="K25" s="57"/>
      <c r="L25" s="59"/>
      <c r="M25" s="59"/>
      <c r="N25" s="59"/>
      <c r="O25" s="59"/>
      <c r="P25" s="59"/>
      <c r="Q25" s="59"/>
      <c r="R25" s="59"/>
      <c r="S25" s="59"/>
      <c r="T25" s="59"/>
    </row>
    <row r="26" spans="1:20" ht="13.5" thickBot="1">
      <c r="A26" s="120">
        <f t="shared" ref="A26" si="10">A25+1</f>
        <v>16</v>
      </c>
      <c r="B26" s="40"/>
      <c r="C26" s="41"/>
      <c r="D26" s="42"/>
      <c r="E26" s="43"/>
      <c r="F26" s="42"/>
      <c r="G26" s="121">
        <f t="shared" si="0"/>
        <v>16</v>
      </c>
      <c r="H26" s="35"/>
      <c r="I26" s="35"/>
      <c r="L26" s="59"/>
      <c r="M26" s="59"/>
      <c r="N26" s="59"/>
      <c r="O26" s="59"/>
      <c r="P26" s="59"/>
      <c r="Q26" s="59"/>
      <c r="R26" s="59"/>
      <c r="S26" s="59"/>
      <c r="T26" s="59"/>
    </row>
    <row r="27" spans="1:20">
      <c r="A27" s="120">
        <f t="shared" ref="A27" si="11">A26+1</f>
        <v>17</v>
      </c>
      <c r="B27" s="44"/>
      <c r="C27" s="35"/>
      <c r="F27" s="30"/>
      <c r="G27" s="121">
        <f t="shared" si="0"/>
        <v>17</v>
      </c>
    </row>
    <row r="28" spans="1:20">
      <c r="A28" s="120">
        <f t="shared" ref="A28" si="12">A27+1</f>
        <v>18</v>
      </c>
      <c r="B28" s="44"/>
      <c r="C28" s="44"/>
      <c r="D28" s="44"/>
      <c r="E28" s="30"/>
      <c r="F28" s="30"/>
      <c r="G28" s="121">
        <f t="shared" si="0"/>
        <v>18</v>
      </c>
    </row>
    <row r="29" spans="1:20">
      <c r="A29" s="38">
        <f t="shared" ref="A29:A31" si="13">A28+1</f>
        <v>19</v>
      </c>
      <c r="B29" s="28" t="s">
        <v>121</v>
      </c>
      <c r="G29" s="121">
        <f t="shared" si="0"/>
        <v>19</v>
      </c>
    </row>
    <row r="30" spans="1:20">
      <c r="A30" s="38">
        <f t="shared" si="13"/>
        <v>20</v>
      </c>
      <c r="G30" s="121">
        <f t="shared" si="0"/>
        <v>20</v>
      </c>
    </row>
    <row r="31" spans="1:20">
      <c r="A31" s="116">
        <f t="shared" si="13"/>
        <v>21</v>
      </c>
      <c r="C31" s="29" t="s">
        <v>29</v>
      </c>
      <c r="E31" s="45">
        <f>SLOPE(F11:F25,E11:E25)</f>
        <v>240.25970937772834</v>
      </c>
      <c r="G31" s="121">
        <f t="shared" si="0"/>
        <v>21</v>
      </c>
    </row>
    <row r="32" spans="1:20">
      <c r="E32" s="127" t="s">
        <v>115</v>
      </c>
    </row>
    <row r="33" spans="1:6">
      <c r="A33" s="28" t="s">
        <v>79</v>
      </c>
      <c r="B33" s="99"/>
    </row>
    <row r="34" spans="1:6">
      <c r="B34" s="99" t="s">
        <v>95</v>
      </c>
    </row>
    <row r="35" spans="1:6">
      <c r="B35" s="99" t="s">
        <v>96</v>
      </c>
    </row>
    <row r="36" spans="1:6">
      <c r="B36" s="99" t="s">
        <v>89</v>
      </c>
      <c r="C36" s="28"/>
      <c r="D36" s="28"/>
      <c r="E36" s="28"/>
      <c r="F36" s="28"/>
    </row>
    <row r="37" spans="1:6">
      <c r="B37" s="99" t="s">
        <v>92</v>
      </c>
      <c r="C37" s="28"/>
      <c r="D37" s="28"/>
      <c r="E37" s="28"/>
      <c r="F37" s="28"/>
    </row>
    <row r="38" spans="1:6">
      <c r="B38" s="101" t="s">
        <v>86</v>
      </c>
    </row>
  </sheetData>
  <mergeCells count="4">
    <mergeCell ref="A1:G1"/>
    <mergeCell ref="A2:G2"/>
    <mergeCell ref="A5:G5"/>
    <mergeCell ref="A3:G3"/>
  </mergeCells>
  <phoneticPr fontId="2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72350-1D58-4132-B916-185A075FF13B}">
  <dimension ref="A1:G84"/>
  <sheetViews>
    <sheetView zoomScale="130" zoomScaleNormal="130" workbookViewId="0">
      <selection activeCell="B1" sqref="B1"/>
    </sheetView>
  </sheetViews>
  <sheetFormatPr defaultColWidth="9.1796875" defaultRowHeight="13"/>
  <cols>
    <col min="1" max="1" width="7.26953125" style="150" customWidth="1"/>
    <col min="2" max="2" width="83.6328125" style="29" customWidth="1"/>
    <col min="3" max="3" width="15" style="29" bestFit="1" customWidth="1"/>
    <col min="4" max="4" width="10.26953125" style="29" bestFit="1" customWidth="1"/>
    <col min="5" max="5" width="10" style="29" bestFit="1" customWidth="1"/>
    <col min="6" max="6" width="11.26953125" style="29" bestFit="1" customWidth="1"/>
    <col min="7" max="7" width="6.453125" style="29" customWidth="1"/>
    <col min="8" max="8" width="11.1796875" style="29" bestFit="1" customWidth="1"/>
    <col min="9" max="16384" width="9.1796875" style="29"/>
  </cols>
  <sheetData>
    <row r="1" spans="1:7">
      <c r="A1" s="52" t="str">
        <f>'Marg Distrib Demand Cost Sum'!A1:E1</f>
        <v>SAN DIEGO GAS &amp; ELECTRIC COMPANY ("SDG&amp;E")</v>
      </c>
      <c r="B1" s="52"/>
      <c r="C1" s="52"/>
      <c r="D1" s="52"/>
      <c r="E1" s="52"/>
      <c r="F1" s="52"/>
      <c r="G1" s="52"/>
    </row>
    <row r="2" spans="1:7">
      <c r="A2" s="52" t="str">
        <f>'Marg Distrib Demand Cost Sum'!A2:E2</f>
        <v>TEST YEAR ("TY") 2019 GENERAL RATE CASE ("GRC") PHASE 2, APPLICATION ("A.") 19-03-002</v>
      </c>
      <c r="B2" s="52"/>
      <c r="C2" s="52"/>
      <c r="D2" s="52"/>
      <c r="E2" s="52"/>
      <c r="F2" s="52"/>
      <c r="G2" s="52"/>
    </row>
    <row r="3" spans="1:7">
      <c r="A3" s="52" t="str">
        <f>'Marg Distrib Demand Cost Sum'!A3:E3</f>
        <v>MARGINAL DISTRIBUTION DEMAND COST WORKPAPER - CHAPTER 5 (SAXE) - REBUTTAL</v>
      </c>
      <c r="B3" s="52"/>
      <c r="C3" s="52"/>
      <c r="D3" s="52"/>
      <c r="E3" s="52"/>
      <c r="F3" s="52"/>
      <c r="G3" s="52"/>
    </row>
    <row r="4" spans="1:7">
      <c r="A4" s="52"/>
      <c r="B4" s="52"/>
      <c r="C4" s="52"/>
      <c r="D4" s="52"/>
      <c r="E4" s="52"/>
      <c r="F4" s="52"/>
      <c r="G4" s="52"/>
    </row>
    <row r="5" spans="1:7">
      <c r="A5" s="182" t="s">
        <v>126</v>
      </c>
      <c r="B5" s="182"/>
      <c r="C5" s="182"/>
      <c r="D5" s="182"/>
      <c r="E5" s="182"/>
      <c r="F5" s="182"/>
      <c r="G5" s="182"/>
    </row>
    <row r="7" spans="1:7" s="150" customFormat="1">
      <c r="A7" s="150" t="s">
        <v>19</v>
      </c>
      <c r="C7" s="150" t="s">
        <v>3</v>
      </c>
      <c r="D7" s="150" t="s">
        <v>4</v>
      </c>
      <c r="E7" s="150" t="s">
        <v>6</v>
      </c>
      <c r="F7" s="150" t="s">
        <v>5</v>
      </c>
      <c r="G7" s="150" t="s">
        <v>19</v>
      </c>
    </row>
    <row r="8" spans="1:7" s="150" customFormat="1">
      <c r="A8" s="60" t="s">
        <v>67</v>
      </c>
      <c r="B8" s="60" t="s">
        <v>0</v>
      </c>
      <c r="C8" s="60">
        <v>2017</v>
      </c>
      <c r="D8" s="60">
        <v>2018</v>
      </c>
      <c r="E8" s="60">
        <v>2019</v>
      </c>
      <c r="F8" s="60" t="s">
        <v>27</v>
      </c>
      <c r="G8" s="60" t="s">
        <v>67</v>
      </c>
    </row>
    <row r="9" spans="1:7" s="150" customFormat="1">
      <c r="A9" s="60"/>
      <c r="B9" s="60"/>
      <c r="C9" s="60"/>
      <c r="D9" s="60"/>
      <c r="E9" s="60"/>
      <c r="F9" s="60"/>
      <c r="G9" s="60"/>
    </row>
    <row r="10" spans="1:7" s="150" customFormat="1">
      <c r="A10" s="60"/>
      <c r="B10" s="105" t="s">
        <v>177</v>
      </c>
      <c r="C10" s="60"/>
      <c r="D10" s="60"/>
      <c r="E10" s="60"/>
      <c r="F10" s="60"/>
      <c r="G10" s="60"/>
    </row>
    <row r="11" spans="1:7" s="150" customFormat="1">
      <c r="A11" s="60"/>
      <c r="B11" s="60"/>
      <c r="C11" s="60"/>
      <c r="D11" s="60"/>
      <c r="E11" s="60"/>
      <c r="F11" s="60"/>
      <c r="G11" s="60"/>
    </row>
    <row r="12" spans="1:7">
      <c r="A12" s="150">
        <v>1</v>
      </c>
      <c r="B12" s="29" t="s">
        <v>181</v>
      </c>
      <c r="C12" s="104">
        <v>17296.660273567431</v>
      </c>
      <c r="D12" s="104">
        <v>17151.76868987771</v>
      </c>
      <c r="E12" s="104">
        <v>16757.242644154958</v>
      </c>
      <c r="F12" s="47">
        <f>AVERAGE(C12,D12,E12)</f>
        <v>17068.557202533368</v>
      </c>
      <c r="G12" s="150">
        <v>1</v>
      </c>
    </row>
    <row r="13" spans="1:7">
      <c r="A13" s="150">
        <f>A12+1</f>
        <v>2</v>
      </c>
      <c r="B13" s="29" t="s">
        <v>182</v>
      </c>
      <c r="C13" s="104">
        <v>1410.9427361677542</v>
      </c>
      <c r="D13" s="104">
        <v>1587.8685985255786</v>
      </c>
      <c r="E13" s="104">
        <v>1783.8131812905631</v>
      </c>
      <c r="F13" s="47">
        <f t="shared" ref="F13:F24" si="0">AVERAGE(C13,D13,E13)</f>
        <v>1594.208171994632</v>
      </c>
      <c r="G13" s="150">
        <f>G12+1</f>
        <v>2</v>
      </c>
    </row>
    <row r="14" spans="1:7">
      <c r="A14" s="150">
        <f t="shared" ref="A14:A74" si="1">A13+1</f>
        <v>3</v>
      </c>
      <c r="B14" s="29" t="s">
        <v>183</v>
      </c>
      <c r="C14" s="104">
        <v>9750.0105999999996</v>
      </c>
      <c r="D14" s="104">
        <v>4686.1056400000007</v>
      </c>
      <c r="E14" s="104">
        <v>8683.8557099999998</v>
      </c>
      <c r="F14" s="47">
        <f t="shared" si="0"/>
        <v>7706.6573166666667</v>
      </c>
      <c r="G14" s="150">
        <f t="shared" ref="G14:G74" si="2">G13+1</f>
        <v>3</v>
      </c>
    </row>
    <row r="15" spans="1:7">
      <c r="A15" s="150">
        <f t="shared" si="1"/>
        <v>4</v>
      </c>
      <c r="B15" s="29" t="s">
        <v>184</v>
      </c>
      <c r="C15" s="104">
        <v>32264.892099999994</v>
      </c>
      <c r="D15" s="104">
        <v>26444.789929999999</v>
      </c>
      <c r="E15" s="104">
        <v>17893.032730000003</v>
      </c>
      <c r="F15" s="47">
        <f t="shared" si="0"/>
        <v>25534.238253333333</v>
      </c>
      <c r="G15" s="150">
        <f t="shared" si="2"/>
        <v>4</v>
      </c>
    </row>
    <row r="16" spans="1:7">
      <c r="A16" s="150">
        <f t="shared" si="1"/>
        <v>5</v>
      </c>
      <c r="B16" s="29" t="s">
        <v>185</v>
      </c>
      <c r="C16" s="104">
        <v>70495.764599999966</v>
      </c>
      <c r="D16" s="104">
        <v>65228.169960000007</v>
      </c>
      <c r="E16" s="104">
        <v>67275.639440000028</v>
      </c>
      <c r="F16" s="47">
        <f t="shared" si="0"/>
        <v>67666.524666666664</v>
      </c>
      <c r="G16" s="150">
        <f t="shared" si="2"/>
        <v>5</v>
      </c>
    </row>
    <row r="17" spans="1:7">
      <c r="A17" s="150">
        <f t="shared" si="1"/>
        <v>6</v>
      </c>
      <c r="B17" s="29" t="s">
        <v>186</v>
      </c>
      <c r="C17" s="104">
        <v>32207.857800000002</v>
      </c>
      <c r="D17" s="104">
        <v>20084.259499999996</v>
      </c>
      <c r="E17" s="104">
        <v>10094.758769999999</v>
      </c>
      <c r="F17" s="47">
        <f t="shared" si="0"/>
        <v>20795.625356666667</v>
      </c>
      <c r="G17" s="150">
        <f t="shared" si="2"/>
        <v>6</v>
      </c>
    </row>
    <row r="18" spans="1:7">
      <c r="A18" s="150">
        <f t="shared" si="1"/>
        <v>7</v>
      </c>
      <c r="B18" s="29" t="s">
        <v>187</v>
      </c>
      <c r="C18" s="104">
        <v>32108.509700000002</v>
      </c>
      <c r="D18" s="104">
        <v>23001.496370000004</v>
      </c>
      <c r="E18" s="104">
        <v>48763.328069999989</v>
      </c>
      <c r="F18" s="47">
        <f t="shared" si="0"/>
        <v>34624.444713333331</v>
      </c>
      <c r="G18" s="150">
        <f t="shared" si="2"/>
        <v>7</v>
      </c>
    </row>
    <row r="19" spans="1:7">
      <c r="A19" s="150">
        <f t="shared" si="1"/>
        <v>8</v>
      </c>
      <c r="B19" s="29" t="s">
        <v>188</v>
      </c>
      <c r="C19" s="104">
        <v>69704.997600000002</v>
      </c>
      <c r="D19" s="104">
        <v>65557.720809999999</v>
      </c>
      <c r="E19" s="104">
        <v>138679.85666000005</v>
      </c>
      <c r="F19" s="47">
        <f t="shared" si="0"/>
        <v>91314.191690000007</v>
      </c>
      <c r="G19" s="150">
        <f t="shared" si="2"/>
        <v>8</v>
      </c>
    </row>
    <row r="20" spans="1:7">
      <c r="A20" s="150">
        <f t="shared" si="1"/>
        <v>9</v>
      </c>
      <c r="B20" s="29" t="s">
        <v>189</v>
      </c>
      <c r="C20" s="104">
        <v>29206.157899999998</v>
      </c>
      <c r="D20" s="104">
        <v>39062.482739999999</v>
      </c>
      <c r="E20" s="104">
        <v>58093.132790000003</v>
      </c>
      <c r="F20" s="47">
        <f t="shared" si="0"/>
        <v>42120.591143333331</v>
      </c>
      <c r="G20" s="150">
        <f t="shared" si="2"/>
        <v>9</v>
      </c>
    </row>
    <row r="21" spans="1:7">
      <c r="A21" s="150">
        <f t="shared" si="1"/>
        <v>10</v>
      </c>
      <c r="B21" s="29" t="s">
        <v>190</v>
      </c>
      <c r="C21" s="104">
        <v>8292.7193000000007</v>
      </c>
      <c r="D21" s="104">
        <v>2727.60088</v>
      </c>
      <c r="E21" s="104">
        <v>1435.5508799999998</v>
      </c>
      <c r="F21" s="47">
        <f t="shared" si="0"/>
        <v>4151.9570200000007</v>
      </c>
      <c r="G21" s="150">
        <f t="shared" si="2"/>
        <v>10</v>
      </c>
    </row>
    <row r="22" spans="1:7">
      <c r="A22" s="150">
        <f t="shared" si="1"/>
        <v>11</v>
      </c>
      <c r="B22" s="29" t="s">
        <v>191</v>
      </c>
      <c r="C22" s="104">
        <v>76248.2019</v>
      </c>
      <c r="D22" s="104">
        <v>86093.122281724995</v>
      </c>
      <c r="E22" s="104">
        <v>123000.78333000001</v>
      </c>
      <c r="F22" s="47">
        <f t="shared" si="0"/>
        <v>95114.035837241667</v>
      </c>
      <c r="G22" s="150">
        <f t="shared" si="2"/>
        <v>11</v>
      </c>
    </row>
    <row r="23" spans="1:7">
      <c r="A23" s="150">
        <f t="shared" si="1"/>
        <v>12</v>
      </c>
      <c r="B23" s="29" t="s">
        <v>192</v>
      </c>
      <c r="C23" s="104">
        <v>11099.462599999999</v>
      </c>
      <c r="D23" s="104">
        <v>13225.32236</v>
      </c>
      <c r="E23" s="104">
        <v>2328</v>
      </c>
      <c r="F23" s="47">
        <f t="shared" si="0"/>
        <v>8884.261653333333</v>
      </c>
      <c r="G23" s="150">
        <f t="shared" si="2"/>
        <v>12</v>
      </c>
    </row>
    <row r="24" spans="1:7">
      <c r="A24" s="150">
        <f t="shared" si="1"/>
        <v>13</v>
      </c>
      <c r="B24" s="29" t="s">
        <v>193</v>
      </c>
      <c r="C24" s="104">
        <v>43265.7562058357</v>
      </c>
      <c r="D24" s="104">
        <v>40725.583575342462</v>
      </c>
      <c r="E24" s="104">
        <v>47334.126821434744</v>
      </c>
      <c r="F24" s="47">
        <f t="shared" si="0"/>
        <v>43775.155534204299</v>
      </c>
      <c r="G24" s="150">
        <f t="shared" si="2"/>
        <v>13</v>
      </c>
    </row>
    <row r="25" spans="1:7" ht="13.5" thickBot="1">
      <c r="A25" s="150">
        <f t="shared" si="1"/>
        <v>14</v>
      </c>
      <c r="B25" s="29" t="s">
        <v>1</v>
      </c>
      <c r="C25" s="48">
        <f>SUM(C12:C24)</f>
        <v>433351.93331557082</v>
      </c>
      <c r="D25" s="48">
        <f>SUM(D12:D24)</f>
        <v>405576.29133547074</v>
      </c>
      <c r="E25" s="48">
        <f>SUM(E12:E24)</f>
        <v>542123.12102688034</v>
      </c>
      <c r="F25" s="48">
        <f>SUM(F12:F24)</f>
        <v>460350.44855930726</v>
      </c>
      <c r="G25" s="150">
        <f t="shared" si="2"/>
        <v>14</v>
      </c>
    </row>
    <row r="26" spans="1:7" ht="13.5" thickTop="1">
      <c r="A26" s="150">
        <f t="shared" si="1"/>
        <v>15</v>
      </c>
      <c r="C26" s="148"/>
      <c r="D26" s="148"/>
      <c r="E26" s="148"/>
      <c r="F26" s="148"/>
      <c r="G26" s="150">
        <f t="shared" si="2"/>
        <v>15</v>
      </c>
    </row>
    <row r="27" spans="1:7" s="28" customFormat="1">
      <c r="A27" s="151">
        <f t="shared" si="1"/>
        <v>16</v>
      </c>
      <c r="B27" s="158" t="s">
        <v>127</v>
      </c>
      <c r="C27" s="47"/>
      <c r="D27" s="47"/>
      <c r="G27" s="151">
        <f t="shared" si="2"/>
        <v>16</v>
      </c>
    </row>
    <row r="28" spans="1:7" s="28" customFormat="1">
      <c r="A28" s="151">
        <f t="shared" si="1"/>
        <v>17</v>
      </c>
      <c r="B28" s="154" t="s">
        <v>130</v>
      </c>
      <c r="C28" s="152">
        <f>C13/(C25-C24-C13)</f>
        <v>3.6301328497088015E-3</v>
      </c>
      <c r="D28" s="152">
        <f>D13/(D25-D24-D13)</f>
        <v>4.3711286356466327E-3</v>
      </c>
      <c r="E28" s="152">
        <f>E13/(E25-E24-E13)</f>
        <v>3.6182442902221029E-3</v>
      </c>
      <c r="F28" s="152">
        <f>F13/(F25-F24-F13)</f>
        <v>3.8416405715430073E-3</v>
      </c>
      <c r="G28" s="151">
        <f t="shared" si="2"/>
        <v>17</v>
      </c>
    </row>
    <row r="29" spans="1:7" s="28" customFormat="1">
      <c r="A29" s="151">
        <f t="shared" si="1"/>
        <v>18</v>
      </c>
      <c r="B29" s="154" t="s">
        <v>144</v>
      </c>
      <c r="C29" s="47">
        <f>C28*(C25-C13-C15-C17-C23-C24)</f>
        <v>1136.6055650463304</v>
      </c>
      <c r="D29" s="47">
        <f>D28*(D25-D13-D15-D17-D23-D24)</f>
        <v>1326.6745528892341</v>
      </c>
      <c r="E29" s="47">
        <f>E28*(E25-E13-E15-E17-E23-E24)</f>
        <v>1674.1232417921246</v>
      </c>
      <c r="F29" s="47">
        <f>F28*(F25-F13-F15-F17-F23-F24)</f>
        <v>1382.0953482607531</v>
      </c>
      <c r="G29" s="151">
        <f t="shared" si="2"/>
        <v>18</v>
      </c>
    </row>
    <row r="30" spans="1:7">
      <c r="A30" s="151">
        <f t="shared" si="1"/>
        <v>19</v>
      </c>
      <c r="B30" s="154" t="s">
        <v>145</v>
      </c>
      <c r="C30" s="153">
        <f>C28*(C15+C17+C23)</f>
        <v>274.33717112142409</v>
      </c>
      <c r="D30" s="153">
        <f>D28*(D15+D17+D23)</f>
        <v>261.1940456363443</v>
      </c>
      <c r="E30" s="153">
        <f>E28*(E15+E17+E23)</f>
        <v>109.68993949843876</v>
      </c>
      <c r="F30" s="153">
        <f>F28*(F15+F17+F23)</f>
        <v>212.11282373387908</v>
      </c>
      <c r="G30" s="151">
        <f t="shared" si="2"/>
        <v>19</v>
      </c>
    </row>
    <row r="31" spans="1:7">
      <c r="A31" s="151">
        <f t="shared" si="1"/>
        <v>20</v>
      </c>
      <c r="B31" s="154" t="s">
        <v>1</v>
      </c>
      <c r="C31" s="47">
        <f>SUM(C29:C30)</f>
        <v>1410.9427361677544</v>
      </c>
      <c r="D31" s="47">
        <f>SUM(D29:D30)</f>
        <v>1587.8685985255784</v>
      </c>
      <c r="E31" s="47">
        <f>SUM(E29:E30)</f>
        <v>1783.8131812905633</v>
      </c>
      <c r="F31" s="47">
        <f>SUM(F29:F30)</f>
        <v>1594.2081719946323</v>
      </c>
      <c r="G31" s="151">
        <f t="shared" si="2"/>
        <v>20</v>
      </c>
    </row>
    <row r="32" spans="1:7">
      <c r="A32" s="151">
        <f t="shared" si="1"/>
        <v>21</v>
      </c>
      <c r="C32" s="47"/>
      <c r="D32" s="47"/>
      <c r="E32" s="47"/>
      <c r="F32" s="47"/>
      <c r="G32" s="151">
        <f t="shared" si="2"/>
        <v>21</v>
      </c>
    </row>
    <row r="33" spans="1:7">
      <c r="A33" s="151">
        <f t="shared" si="1"/>
        <v>22</v>
      </c>
      <c r="B33" s="154" t="s">
        <v>146</v>
      </c>
      <c r="C33" s="47">
        <f>C28*C14</f>
        <v>35.393833764069022</v>
      </c>
      <c r="D33" s="47">
        <f>D28*D14</f>
        <v>20.483570552669192</v>
      </c>
      <c r="E33" s="47">
        <f>E28*E14</f>
        <v>31.420311339820106</v>
      </c>
      <c r="F33" s="47">
        <f>F28*F14</f>
        <v>29.606207418685432</v>
      </c>
      <c r="G33" s="151">
        <f t="shared" si="2"/>
        <v>22</v>
      </c>
    </row>
    <row r="34" spans="1:7">
      <c r="A34" s="151">
        <f t="shared" si="1"/>
        <v>23</v>
      </c>
      <c r="B34" s="154" t="s">
        <v>147</v>
      </c>
      <c r="C34" s="47">
        <f>C28*C15</f>
        <v>117.12584470451998</v>
      </c>
      <c r="D34" s="47">
        <f>D28*D15</f>
        <v>115.59357852668271</v>
      </c>
      <c r="E34" s="47">
        <f>E28*E15</f>
        <v>64.741363510079722</v>
      </c>
      <c r="F34" s="47">
        <f>F28*F15</f>
        <v>98.093365637450788</v>
      </c>
      <c r="G34" s="151">
        <f t="shared" si="2"/>
        <v>23</v>
      </c>
    </row>
    <row r="35" spans="1:7">
      <c r="A35" s="151">
        <f t="shared" si="1"/>
        <v>24</v>
      </c>
      <c r="C35" s="119"/>
      <c r="D35" s="119"/>
      <c r="E35" s="119"/>
      <c r="F35" s="119"/>
      <c r="G35" s="151">
        <f t="shared" si="2"/>
        <v>24</v>
      </c>
    </row>
    <row r="36" spans="1:7">
      <c r="A36" s="151">
        <f t="shared" si="1"/>
        <v>25</v>
      </c>
      <c r="B36" s="158" t="s">
        <v>128</v>
      </c>
      <c r="G36" s="151">
        <f t="shared" si="2"/>
        <v>25</v>
      </c>
    </row>
    <row r="37" spans="1:7">
      <c r="A37" s="151">
        <f t="shared" si="1"/>
        <v>26</v>
      </c>
      <c r="B37" s="154" t="s">
        <v>148</v>
      </c>
      <c r="C37" s="155">
        <f>C22/(C25-C15-C17-C22-C23-C24-C30)</f>
        <v>0.3203821386734324</v>
      </c>
      <c r="D37" s="155">
        <f>D22/(D25-D15-D17-D22-D23-D24-D30)</f>
        <v>0.39358291754975017</v>
      </c>
      <c r="E37" s="155">
        <f>E22/(E25-E15-E17-E22-E23-E24-E30)</f>
        <v>0.36032282590791653</v>
      </c>
      <c r="F37" s="155">
        <f>F22/(F25-F15-F17-F22-F23-F24-F30)</f>
        <v>0.35752449492826105</v>
      </c>
      <c r="G37" s="151">
        <f t="shared" si="2"/>
        <v>26</v>
      </c>
    </row>
    <row r="38" spans="1:7">
      <c r="A38" s="151">
        <f t="shared" si="1"/>
        <v>27</v>
      </c>
      <c r="B38" s="154" t="s">
        <v>194</v>
      </c>
      <c r="C38" s="156">
        <f>C37*(C25-C15-C17-C22-C23-C24-C30)</f>
        <v>76248.2019</v>
      </c>
      <c r="D38" s="156">
        <f>D37*(D25-D15-D17-D22-D23-D24-D30)</f>
        <v>86093.122281724995</v>
      </c>
      <c r="E38" s="156">
        <f>E37*(E25-E15-E17-E22-E23-E24-E30)</f>
        <v>123000.78332999999</v>
      </c>
      <c r="F38" s="156">
        <f>F37*(F25-F15-F17-F22-F23-F24-F30)</f>
        <v>95114.035837241667</v>
      </c>
      <c r="G38" s="151">
        <f t="shared" si="2"/>
        <v>27</v>
      </c>
    </row>
    <row r="39" spans="1:7">
      <c r="A39" s="151">
        <f t="shared" si="1"/>
        <v>28</v>
      </c>
      <c r="B39" s="154"/>
      <c r="C39" s="156"/>
      <c r="D39" s="156"/>
      <c r="E39" s="156"/>
      <c r="F39" s="156"/>
      <c r="G39" s="151">
        <f t="shared" si="2"/>
        <v>28</v>
      </c>
    </row>
    <row r="40" spans="1:7">
      <c r="A40" s="151">
        <f t="shared" si="1"/>
        <v>29</v>
      </c>
      <c r="B40" s="154" t="s">
        <v>149</v>
      </c>
      <c r="C40" s="47">
        <f>C37*C14</f>
        <v>3123.729248116636</v>
      </c>
      <c r="D40" s="47">
        <f>D37*D14</f>
        <v>1844.3711297375396</v>
      </c>
      <c r="E40" s="47">
        <f>E37*E14</f>
        <v>3128.991429203797</v>
      </c>
      <c r="F40" s="47">
        <f>F37*F14</f>
        <v>2755.3187647264376</v>
      </c>
      <c r="G40" s="151">
        <f t="shared" si="2"/>
        <v>29</v>
      </c>
    </row>
    <row r="41" spans="1:7">
      <c r="A41" s="151">
        <f t="shared" si="1"/>
        <v>30</v>
      </c>
      <c r="B41" s="154"/>
      <c r="C41" s="119"/>
      <c r="D41" s="119"/>
      <c r="E41" s="119"/>
      <c r="F41" s="119"/>
      <c r="G41" s="151">
        <f t="shared" si="2"/>
        <v>30</v>
      </c>
    </row>
    <row r="42" spans="1:7">
      <c r="A42" s="151">
        <f t="shared" si="1"/>
        <v>31</v>
      </c>
      <c r="B42" s="158" t="s">
        <v>129</v>
      </c>
      <c r="G42" s="151">
        <f t="shared" si="2"/>
        <v>31</v>
      </c>
    </row>
    <row r="43" spans="1:7">
      <c r="A43" s="151">
        <f t="shared" si="1"/>
        <v>32</v>
      </c>
      <c r="B43" s="154" t="s">
        <v>150</v>
      </c>
      <c r="C43" s="155">
        <f>C23/(C15+C17+C30)</f>
        <v>0.17142798389999842</v>
      </c>
      <c r="D43" s="155">
        <f>D23/(D15+D17+D30)</f>
        <v>0.28265128320792815</v>
      </c>
      <c r="E43" s="155">
        <f>E23/(E15+E17+E30)</f>
        <v>8.2854401203638864E-2</v>
      </c>
      <c r="F43" s="155">
        <f>F23/(F15+F17+F30)</f>
        <v>0.19088707300564856</v>
      </c>
      <c r="G43" s="151">
        <f t="shared" si="2"/>
        <v>32</v>
      </c>
    </row>
    <row r="44" spans="1:7">
      <c r="A44" s="151">
        <f t="shared" si="1"/>
        <v>33</v>
      </c>
      <c r="B44" s="154" t="s">
        <v>195</v>
      </c>
      <c r="C44" s="157">
        <f>C43*(C15+C17+C30)</f>
        <v>11099.462599999999</v>
      </c>
      <c r="D44" s="157">
        <f>D43*(D15+D17+D30)</f>
        <v>13225.32236</v>
      </c>
      <c r="E44" s="157">
        <f>E43*(E15+E17+E30)</f>
        <v>2328</v>
      </c>
      <c r="F44" s="157">
        <f>F43*(F15+F17+F30)</f>
        <v>8884.261653333333</v>
      </c>
      <c r="G44" s="151">
        <f t="shared" si="2"/>
        <v>33</v>
      </c>
    </row>
    <row r="45" spans="1:7">
      <c r="A45" s="151">
        <f t="shared" si="1"/>
        <v>34</v>
      </c>
      <c r="B45" s="154"/>
      <c r="C45" s="47"/>
      <c r="D45" s="47"/>
      <c r="E45" s="47"/>
      <c r="F45" s="47"/>
      <c r="G45" s="151">
        <f t="shared" si="2"/>
        <v>34</v>
      </c>
    </row>
    <row r="46" spans="1:7">
      <c r="A46" s="151">
        <f t="shared" si="1"/>
        <v>35</v>
      </c>
      <c r="B46" s="154" t="s">
        <v>151</v>
      </c>
      <c r="C46" s="47">
        <f>C43*C15</f>
        <v>5531.1054034539848</v>
      </c>
      <c r="D46" s="47">
        <f>D43*D15</f>
        <v>7474.6538078785961</v>
      </c>
      <c r="E46" s="47">
        <f>E43*E15</f>
        <v>1482.5165125612618</v>
      </c>
      <c r="F46" s="47">
        <f>F43*F15</f>
        <v>4874.1560016076637</v>
      </c>
      <c r="G46" s="151">
        <f t="shared" si="2"/>
        <v>35</v>
      </c>
    </row>
    <row r="47" spans="1:7">
      <c r="A47" s="151">
        <f t="shared" si="1"/>
        <v>36</v>
      </c>
      <c r="B47" s="154"/>
      <c r="C47" s="47"/>
      <c r="D47" s="47"/>
      <c r="G47" s="151">
        <f t="shared" si="2"/>
        <v>36</v>
      </c>
    </row>
    <row r="48" spans="1:7">
      <c r="A48" s="151">
        <f t="shared" si="1"/>
        <v>37</v>
      </c>
      <c r="B48" s="154"/>
      <c r="C48" s="47"/>
      <c r="D48" s="47"/>
      <c r="G48" s="151">
        <f t="shared" si="2"/>
        <v>37</v>
      </c>
    </row>
    <row r="49" spans="1:7" ht="13.5" thickBot="1">
      <c r="A49" s="151">
        <f t="shared" si="1"/>
        <v>38</v>
      </c>
      <c r="B49" s="29" t="s">
        <v>135</v>
      </c>
      <c r="G49" s="151">
        <f t="shared" si="2"/>
        <v>38</v>
      </c>
    </row>
    <row r="50" spans="1:7">
      <c r="A50" s="151">
        <f t="shared" si="1"/>
        <v>39</v>
      </c>
      <c r="B50" s="159" t="s">
        <v>135</v>
      </c>
      <c r="C50" s="160">
        <f>C14+C33+C40</f>
        <v>12909.133681880703</v>
      </c>
      <c r="D50" s="160">
        <f>D14+D33+D40</f>
        <v>6550.9603402902094</v>
      </c>
      <c r="E50" s="160">
        <f>E14+E33+E40</f>
        <v>11844.267450543617</v>
      </c>
      <c r="F50" s="161">
        <f>(F14)*((F13/(F25-F24-F13))+(F22/(F25-F15-F17-F23-F22))+1)</f>
        <v>10100.64605351994</v>
      </c>
      <c r="G50" s="151">
        <f t="shared" si="2"/>
        <v>39</v>
      </c>
    </row>
    <row r="51" spans="1:7">
      <c r="A51" s="151">
        <f t="shared" si="1"/>
        <v>40</v>
      </c>
      <c r="B51" s="34" t="s">
        <v>131</v>
      </c>
      <c r="C51" s="162"/>
      <c r="D51" s="162"/>
      <c r="E51" s="162"/>
      <c r="F51" s="163"/>
      <c r="G51" s="151">
        <f t="shared" si="2"/>
        <v>40</v>
      </c>
    </row>
    <row r="52" spans="1:7">
      <c r="A52" s="151">
        <f t="shared" si="1"/>
        <v>41</v>
      </c>
      <c r="B52" s="37"/>
      <c r="C52" s="164"/>
      <c r="D52" s="164"/>
      <c r="E52" s="164"/>
      <c r="F52" s="165"/>
      <c r="G52" s="151">
        <f t="shared" si="2"/>
        <v>41</v>
      </c>
    </row>
    <row r="53" spans="1:7">
      <c r="A53" s="151">
        <f t="shared" si="1"/>
        <v>42</v>
      </c>
      <c r="B53" s="37" t="s">
        <v>136</v>
      </c>
      <c r="C53" s="166">
        <f>(C25-C15-C17-C23-C24-C30)</f>
        <v>314239.62743861362</v>
      </c>
      <c r="D53" s="166">
        <f t="shared" ref="D53:F53" si="3">(D25-D15-D17-D23-D24-D30)</f>
        <v>304835.14192449197</v>
      </c>
      <c r="E53" s="166">
        <f t="shared" si="3"/>
        <v>464363.51276594715</v>
      </c>
      <c r="F53" s="167">
        <f t="shared" si="3"/>
        <v>361149.05493803573</v>
      </c>
      <c r="G53" s="151">
        <f t="shared" si="2"/>
        <v>42</v>
      </c>
    </row>
    <row r="54" spans="1:7">
      <c r="A54" s="151">
        <f t="shared" si="1"/>
        <v>43</v>
      </c>
      <c r="B54" s="37" t="s">
        <v>152</v>
      </c>
      <c r="C54" s="166"/>
      <c r="D54" s="166"/>
      <c r="E54" s="166"/>
      <c r="F54" s="36"/>
      <c r="G54" s="151">
        <f t="shared" si="2"/>
        <v>43</v>
      </c>
    </row>
    <row r="55" spans="1:7">
      <c r="A55" s="151">
        <f t="shared" si="1"/>
        <v>44</v>
      </c>
      <c r="B55" s="37"/>
      <c r="C55" s="35"/>
      <c r="D55" s="35"/>
      <c r="E55" s="35"/>
      <c r="F55" s="36"/>
      <c r="G55" s="151">
        <f t="shared" si="2"/>
        <v>44</v>
      </c>
    </row>
    <row r="56" spans="1:7">
      <c r="A56" s="151">
        <f t="shared" si="1"/>
        <v>45</v>
      </c>
      <c r="B56" s="37" t="s">
        <v>137</v>
      </c>
      <c r="C56" s="168">
        <f>C50/C53</f>
        <v>4.1080540309647896E-2</v>
      </c>
      <c r="D56" s="168">
        <f>D50/D53</f>
        <v>2.1490174324825351E-2</v>
      </c>
      <c r="E56" s="168">
        <f>E50/E53</f>
        <v>2.5506455879778556E-2</v>
      </c>
      <c r="F56" s="169">
        <f>F50/F53</f>
        <v>2.7968081088438575E-2</v>
      </c>
      <c r="G56" s="151">
        <f t="shared" si="2"/>
        <v>45</v>
      </c>
    </row>
    <row r="57" spans="1:7" ht="13.5" thickBot="1">
      <c r="A57" s="151">
        <f t="shared" si="1"/>
        <v>46</v>
      </c>
      <c r="B57" s="40" t="s">
        <v>138</v>
      </c>
      <c r="C57" s="41"/>
      <c r="D57" s="41"/>
      <c r="E57" s="41"/>
      <c r="F57" s="42"/>
      <c r="G57" s="151">
        <f t="shared" si="2"/>
        <v>46</v>
      </c>
    </row>
    <row r="58" spans="1:7">
      <c r="A58" s="151">
        <f t="shared" si="1"/>
        <v>47</v>
      </c>
      <c r="G58" s="151">
        <f t="shared" si="2"/>
        <v>47</v>
      </c>
    </row>
    <row r="59" spans="1:7" ht="13.5" thickBot="1">
      <c r="A59" s="151">
        <f t="shared" si="1"/>
        <v>48</v>
      </c>
      <c r="B59" s="29" t="s">
        <v>134</v>
      </c>
      <c r="G59" s="151">
        <f t="shared" si="2"/>
        <v>48</v>
      </c>
    </row>
    <row r="60" spans="1:7">
      <c r="A60" s="151">
        <f t="shared" si="1"/>
        <v>49</v>
      </c>
      <c r="B60" s="159" t="s">
        <v>134</v>
      </c>
      <c r="C60" s="160">
        <f>C15+C34+C46</f>
        <v>37913.123348158493</v>
      </c>
      <c r="D60" s="160">
        <f>D15+D34+D46</f>
        <v>34035.037316405273</v>
      </c>
      <c r="E60" s="160">
        <f>E15+E34+E46</f>
        <v>19440.290606071343</v>
      </c>
      <c r="F60" s="161">
        <f>F15*(F13/(F25-F24-F13)+F23/(F15+F17)+1)</f>
        <v>30528.803054129548</v>
      </c>
      <c r="G60" s="151">
        <f t="shared" si="2"/>
        <v>49</v>
      </c>
    </row>
    <row r="61" spans="1:7">
      <c r="A61" s="151">
        <f t="shared" si="1"/>
        <v>50</v>
      </c>
      <c r="B61" s="34" t="s">
        <v>132</v>
      </c>
      <c r="C61" s="162"/>
      <c r="D61" s="162"/>
      <c r="E61" s="162"/>
      <c r="F61" s="167"/>
      <c r="G61" s="151">
        <f t="shared" si="2"/>
        <v>50</v>
      </c>
    </row>
    <row r="62" spans="1:7">
      <c r="A62" s="151">
        <f t="shared" si="1"/>
        <v>51</v>
      </c>
      <c r="B62" s="37"/>
      <c r="C62" s="35"/>
      <c r="D62" s="35"/>
      <c r="E62" s="35"/>
      <c r="F62" s="36"/>
      <c r="G62" s="151">
        <f t="shared" si="2"/>
        <v>51</v>
      </c>
    </row>
    <row r="63" spans="1:7">
      <c r="A63" s="151">
        <f t="shared" si="1"/>
        <v>52</v>
      </c>
      <c r="B63" s="37" t="s">
        <v>61</v>
      </c>
      <c r="C63" s="166">
        <f>C15+C17+C23+C30</f>
        <v>75846.549671121422</v>
      </c>
      <c r="D63" s="166">
        <f t="shared" ref="D63:F63" si="4">D15+D17+D23+D30</f>
        <v>60015.565835636342</v>
      </c>
      <c r="E63" s="166">
        <f t="shared" si="4"/>
        <v>30425.481439498439</v>
      </c>
      <c r="F63" s="167">
        <f t="shared" si="4"/>
        <v>55426.238087067213</v>
      </c>
      <c r="G63" s="151">
        <f t="shared" si="2"/>
        <v>52</v>
      </c>
    </row>
    <row r="64" spans="1:7">
      <c r="A64" s="151">
        <f t="shared" si="1"/>
        <v>53</v>
      </c>
      <c r="B64" s="37" t="s">
        <v>153</v>
      </c>
      <c r="C64" s="35"/>
      <c r="D64" s="35"/>
      <c r="E64" s="35"/>
      <c r="F64" s="36"/>
      <c r="G64" s="151">
        <f t="shared" si="2"/>
        <v>53</v>
      </c>
    </row>
    <row r="65" spans="1:7">
      <c r="A65" s="151">
        <f t="shared" si="1"/>
        <v>54</v>
      </c>
      <c r="B65" s="37"/>
      <c r="C65" s="35"/>
      <c r="D65" s="35"/>
      <c r="E65" s="35"/>
      <c r="F65" s="36"/>
      <c r="G65" s="151">
        <f t="shared" si="2"/>
        <v>54</v>
      </c>
    </row>
    <row r="66" spans="1:7">
      <c r="A66" s="151">
        <f t="shared" si="1"/>
        <v>55</v>
      </c>
      <c r="B66" s="37" t="s">
        <v>139</v>
      </c>
      <c r="C66" s="168">
        <f>C60/C63</f>
        <v>0.49986615755830377</v>
      </c>
      <c r="D66" s="168">
        <f>D60/D63</f>
        <v>0.56710349794279169</v>
      </c>
      <c r="E66" s="168">
        <f>E60/E63</f>
        <v>0.63894767432780564</v>
      </c>
      <c r="F66" s="169">
        <f>F60/F63</f>
        <v>0.55080056139066991</v>
      </c>
      <c r="G66" s="151">
        <f t="shared" si="2"/>
        <v>55</v>
      </c>
    </row>
    <row r="67" spans="1:7" ht="13.5" thickBot="1">
      <c r="A67" s="151">
        <f t="shared" si="1"/>
        <v>56</v>
      </c>
      <c r="B67" s="40" t="s">
        <v>140</v>
      </c>
      <c r="C67" s="170"/>
      <c r="D67" s="41"/>
      <c r="E67" s="41"/>
      <c r="F67" s="171"/>
      <c r="G67" s="151">
        <f t="shared" si="2"/>
        <v>56</v>
      </c>
    </row>
    <row r="68" spans="1:7">
      <c r="A68" s="151">
        <f t="shared" si="1"/>
        <v>57</v>
      </c>
      <c r="B68" s="28"/>
      <c r="C68" s="47"/>
      <c r="F68" s="65"/>
      <c r="G68" s="151">
        <f t="shared" si="2"/>
        <v>57</v>
      </c>
    </row>
    <row r="69" spans="1:7" ht="13.5" thickBot="1">
      <c r="A69" s="151">
        <f t="shared" si="1"/>
        <v>58</v>
      </c>
      <c r="B69" s="28" t="s">
        <v>133</v>
      </c>
      <c r="C69" s="47"/>
      <c r="F69" s="65"/>
      <c r="G69" s="151">
        <f t="shared" si="2"/>
        <v>58</v>
      </c>
    </row>
    <row r="70" spans="1:7">
      <c r="A70" s="151">
        <f t="shared" si="1"/>
        <v>59</v>
      </c>
      <c r="B70" s="172" t="s">
        <v>110</v>
      </c>
      <c r="C70" s="160">
        <f>C50+C60</f>
        <v>50822.257030039196</v>
      </c>
      <c r="D70" s="160">
        <f>D50+D60</f>
        <v>40585.997656695479</v>
      </c>
      <c r="E70" s="160">
        <f>E50+E60</f>
        <v>31284.558056614958</v>
      </c>
      <c r="F70" s="161">
        <f>F50+F60</f>
        <v>40629.449107649489</v>
      </c>
      <c r="G70" s="151">
        <f t="shared" si="2"/>
        <v>59</v>
      </c>
    </row>
    <row r="71" spans="1:7">
      <c r="A71" s="151">
        <f t="shared" si="1"/>
        <v>60</v>
      </c>
      <c r="B71" s="34" t="s">
        <v>141</v>
      </c>
      <c r="C71" s="166"/>
      <c r="D71" s="35"/>
      <c r="E71" s="35"/>
      <c r="F71" s="173"/>
      <c r="G71" s="151">
        <f t="shared" si="2"/>
        <v>60</v>
      </c>
    </row>
    <row r="72" spans="1:7">
      <c r="A72" s="151">
        <f t="shared" si="1"/>
        <v>61</v>
      </c>
      <c r="B72" s="34"/>
      <c r="C72" s="166"/>
      <c r="D72" s="35"/>
      <c r="E72" s="35"/>
      <c r="F72" s="173"/>
      <c r="G72" s="151">
        <f t="shared" si="2"/>
        <v>61</v>
      </c>
    </row>
    <row r="73" spans="1:7">
      <c r="A73" s="151">
        <f t="shared" si="1"/>
        <v>62</v>
      </c>
      <c r="B73" s="34" t="s">
        <v>142</v>
      </c>
      <c r="C73" s="168">
        <f>C70/(C53+C63)</f>
        <v>0.1302846909536669</v>
      </c>
      <c r="D73" s="168">
        <f t="shared" ref="D73:F73" si="5">D70/(D53+D63)</f>
        <v>0.11124001349992943</v>
      </c>
      <c r="E73" s="168">
        <f t="shared" si="5"/>
        <v>6.3228079894649056E-2</v>
      </c>
      <c r="F73" s="169">
        <f t="shared" si="5"/>
        <v>9.7532066322524674E-2</v>
      </c>
      <c r="G73" s="151">
        <f t="shared" si="2"/>
        <v>62</v>
      </c>
    </row>
    <row r="74" spans="1:7" ht="13.5" thickBot="1">
      <c r="A74" s="151">
        <f t="shared" si="1"/>
        <v>63</v>
      </c>
      <c r="B74" s="40" t="s">
        <v>143</v>
      </c>
      <c r="C74" s="170"/>
      <c r="D74" s="41"/>
      <c r="E74" s="41"/>
      <c r="F74" s="171"/>
      <c r="G74" s="151">
        <f t="shared" si="2"/>
        <v>63</v>
      </c>
    </row>
    <row r="75" spans="1:7">
      <c r="B75" s="99"/>
    </row>
    <row r="76" spans="1:7">
      <c r="A76" s="174" t="s">
        <v>79</v>
      </c>
      <c r="B76" s="28"/>
      <c r="C76" s="28"/>
      <c r="D76" s="28"/>
      <c r="E76" s="28"/>
      <c r="F76" s="28"/>
    </row>
    <row r="77" spans="1:7">
      <c r="A77" s="174"/>
      <c r="B77" s="99" t="s">
        <v>178</v>
      </c>
      <c r="C77" s="28"/>
      <c r="D77" s="28"/>
      <c r="E77" s="28"/>
      <c r="F77" s="28"/>
    </row>
    <row r="78" spans="1:7">
      <c r="A78" s="175"/>
      <c r="B78" s="99" t="s">
        <v>175</v>
      </c>
    </row>
    <row r="79" spans="1:7">
      <c r="A79" s="175"/>
      <c r="B79" s="99" t="s">
        <v>174</v>
      </c>
    </row>
    <row r="80" spans="1:7">
      <c r="A80" s="175"/>
      <c r="B80" s="53" t="s">
        <v>179</v>
      </c>
    </row>
    <row r="81" spans="1:2">
      <c r="A81" s="175"/>
      <c r="B81" s="53" t="s">
        <v>176</v>
      </c>
    </row>
    <row r="82" spans="1:2">
      <c r="A82" s="175"/>
      <c r="B82" s="53" t="s">
        <v>173</v>
      </c>
    </row>
    <row r="83" spans="1:2">
      <c r="A83" s="175"/>
      <c r="B83" s="53" t="s">
        <v>111</v>
      </c>
    </row>
    <row r="84" spans="1:2">
      <c r="A84" s="175"/>
      <c r="B84" s="101" t="s">
        <v>112</v>
      </c>
    </row>
  </sheetData>
  <mergeCells count="1">
    <mergeCell ref="A5:G5"/>
  </mergeCells>
  <printOptions horizontalCentered="1"/>
  <pageMargins left="0.75" right="0.75" top="1" bottom="1" header="0.5" footer="0.5"/>
  <pageSetup scale="64" orientation="landscape" r:id="rId1"/>
  <headerFooter alignWithMargins="0">
    <oddFooter>&amp;L&amp;F   
&amp;A&amp;R&amp;P of &amp;N</oddFooter>
  </headerFooter>
  <rowBreaks count="1" manualBreakCount="1">
    <brk id="4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I86"/>
  <sheetViews>
    <sheetView tabSelected="1" zoomScale="130" zoomScaleNormal="130" workbookViewId="0">
      <selection activeCell="B41" sqref="B41"/>
    </sheetView>
  </sheetViews>
  <sheetFormatPr defaultColWidth="9.1796875" defaultRowHeight="13"/>
  <cols>
    <col min="1" max="1" width="7.26953125" style="46" customWidth="1"/>
    <col min="2" max="2" width="83.90625" style="29" customWidth="1"/>
    <col min="3" max="3" width="15" style="29" bestFit="1" customWidth="1"/>
    <col min="4" max="4" width="10.26953125" style="29" bestFit="1" customWidth="1"/>
    <col min="5" max="5" width="10" style="29" bestFit="1" customWidth="1"/>
    <col min="6" max="6" width="11.26953125" style="29" bestFit="1" customWidth="1"/>
    <col min="7" max="7" width="6.453125" style="29" customWidth="1"/>
    <col min="8" max="8" width="11.1796875" style="29" bestFit="1" customWidth="1"/>
    <col min="9" max="16384" width="9.1796875" style="29"/>
  </cols>
  <sheetData>
    <row r="1" spans="1:7">
      <c r="A1" s="52" t="str">
        <f>'Marg Distrib Demand Cost Sum'!A1:E1</f>
        <v>SAN DIEGO GAS &amp; ELECTRIC COMPANY ("SDG&amp;E")</v>
      </c>
      <c r="B1" s="52"/>
      <c r="C1" s="52"/>
      <c r="D1" s="52"/>
      <c r="E1" s="52"/>
      <c r="F1" s="52"/>
      <c r="G1" s="52"/>
    </row>
    <row r="2" spans="1:7">
      <c r="A2" s="52" t="str">
        <f>'Marg Distrib Demand Cost Sum'!A2:E2</f>
        <v>TEST YEAR ("TY") 2019 GENERAL RATE CASE ("GRC") PHASE 2, APPLICATION ("A.") 19-03-002</v>
      </c>
      <c r="B2" s="52"/>
      <c r="C2" s="52"/>
      <c r="D2" s="52"/>
      <c r="E2" s="52"/>
      <c r="F2" s="52"/>
      <c r="G2" s="52"/>
    </row>
    <row r="3" spans="1:7">
      <c r="A3" s="52" t="str">
        <f>'Marg Distrib Demand Cost Sum'!A3:E3</f>
        <v>MARGINAL DISTRIBUTION DEMAND COST WORKPAPER - CHAPTER 5 (SAXE) - REBUTTAL</v>
      </c>
      <c r="B3" s="52"/>
      <c r="C3" s="52"/>
      <c r="D3" s="52"/>
      <c r="E3" s="52"/>
      <c r="F3" s="52"/>
      <c r="G3" s="52"/>
    </row>
    <row r="4" spans="1:7">
      <c r="A4" s="52"/>
      <c r="B4" s="52"/>
      <c r="C4" s="52"/>
      <c r="D4" s="52"/>
      <c r="E4" s="52"/>
      <c r="F4" s="52"/>
      <c r="G4" s="52"/>
    </row>
    <row r="5" spans="1:7">
      <c r="A5" s="55" t="s">
        <v>100</v>
      </c>
      <c r="B5" s="55"/>
      <c r="C5" s="55"/>
      <c r="D5" s="55"/>
      <c r="E5" s="55"/>
      <c r="F5" s="55"/>
      <c r="G5" s="52"/>
    </row>
    <row r="7" spans="1:7" s="46" customFormat="1">
      <c r="A7" s="46" t="s">
        <v>19</v>
      </c>
      <c r="C7" s="46" t="s">
        <v>3</v>
      </c>
      <c r="D7" s="46" t="s">
        <v>4</v>
      </c>
      <c r="E7" s="46" t="s">
        <v>6</v>
      </c>
      <c r="F7" s="46" t="s">
        <v>5</v>
      </c>
      <c r="G7" s="46" t="s">
        <v>19</v>
      </c>
    </row>
    <row r="8" spans="1:7" s="46" customFormat="1">
      <c r="A8" s="60" t="s">
        <v>67</v>
      </c>
      <c r="B8" s="60" t="s">
        <v>0</v>
      </c>
      <c r="C8" s="60">
        <v>2017</v>
      </c>
      <c r="D8" s="60">
        <v>2018</v>
      </c>
      <c r="E8" s="60">
        <v>2019</v>
      </c>
      <c r="F8" s="60" t="s">
        <v>27</v>
      </c>
      <c r="G8" s="60" t="s">
        <v>67</v>
      </c>
    </row>
    <row r="9" spans="1:7" s="46" customFormat="1">
      <c r="A9" s="60"/>
      <c r="B9" s="60"/>
      <c r="C9" s="60"/>
      <c r="D9" s="60"/>
      <c r="E9" s="60"/>
      <c r="F9" s="60"/>
      <c r="G9" s="60"/>
    </row>
    <row r="10" spans="1:7" s="46" customFormat="1">
      <c r="A10" s="60"/>
      <c r="B10" s="105" t="s">
        <v>83</v>
      </c>
      <c r="C10" s="60"/>
      <c r="D10" s="60"/>
      <c r="E10" s="60"/>
      <c r="F10" s="60"/>
      <c r="G10" s="60"/>
    </row>
    <row r="11" spans="1:7" s="46" customFormat="1">
      <c r="A11" s="60"/>
      <c r="B11" s="60"/>
      <c r="C11" s="60"/>
      <c r="D11" s="60"/>
      <c r="E11" s="60"/>
      <c r="F11" s="60"/>
      <c r="G11" s="60"/>
    </row>
    <row r="12" spans="1:7">
      <c r="A12" s="46">
        <v>1</v>
      </c>
      <c r="B12" s="29" t="s">
        <v>181</v>
      </c>
      <c r="C12" s="104">
        <v>20846</v>
      </c>
      <c r="D12" s="104">
        <v>26182</v>
      </c>
      <c r="E12" s="104">
        <v>27710</v>
      </c>
      <c r="F12" s="47">
        <f>AVERAGE(C12,D12,E12)</f>
        <v>24912.666666666668</v>
      </c>
      <c r="G12" s="46">
        <v>1</v>
      </c>
    </row>
    <row r="13" spans="1:7">
      <c r="A13" s="133">
        <f>A12+1</f>
        <v>2</v>
      </c>
      <c r="B13" s="29" t="s">
        <v>182</v>
      </c>
      <c r="C13" s="104">
        <v>871</v>
      </c>
      <c r="D13" s="104">
        <v>1037</v>
      </c>
      <c r="E13" s="104">
        <v>1097</v>
      </c>
      <c r="F13" s="47">
        <f t="shared" ref="F13:F16" si="0">AVERAGE(C13,D13,E13)</f>
        <v>1001.6666666666666</v>
      </c>
      <c r="G13" s="133">
        <f>G12+1</f>
        <v>2</v>
      </c>
    </row>
    <row r="14" spans="1:7">
      <c r="A14" s="133">
        <f t="shared" ref="A14:A74" si="1">A13+1</f>
        <v>3</v>
      </c>
      <c r="B14" s="29" t="s">
        <v>183</v>
      </c>
      <c r="C14" s="104">
        <v>10147</v>
      </c>
      <c r="D14" s="104">
        <v>6773</v>
      </c>
      <c r="E14" s="104">
        <v>9108</v>
      </c>
      <c r="F14" s="47">
        <f t="shared" si="0"/>
        <v>8676</v>
      </c>
      <c r="G14" s="133">
        <f t="shared" ref="G14:G74" si="2">G13+1</f>
        <v>3</v>
      </c>
    </row>
    <row r="15" spans="1:7">
      <c r="A15" s="133">
        <f t="shared" si="1"/>
        <v>4</v>
      </c>
      <c r="B15" s="29" t="s">
        <v>184</v>
      </c>
      <c r="C15" s="104">
        <v>22162</v>
      </c>
      <c r="D15" s="104">
        <v>20064</v>
      </c>
      <c r="E15" s="104">
        <v>20463</v>
      </c>
      <c r="F15" s="47">
        <f t="shared" si="0"/>
        <v>20896.333333333332</v>
      </c>
      <c r="G15" s="133">
        <f t="shared" si="2"/>
        <v>4</v>
      </c>
    </row>
    <row r="16" spans="1:7">
      <c r="A16" s="133">
        <f t="shared" si="1"/>
        <v>5</v>
      </c>
      <c r="B16" s="29" t="s">
        <v>185</v>
      </c>
      <c r="C16" s="104">
        <v>78334</v>
      </c>
      <c r="D16" s="104">
        <v>149682</v>
      </c>
      <c r="E16" s="104">
        <v>138093</v>
      </c>
      <c r="F16" s="47">
        <f t="shared" si="0"/>
        <v>122036.33333333333</v>
      </c>
      <c r="G16" s="133">
        <f t="shared" si="2"/>
        <v>5</v>
      </c>
    </row>
    <row r="17" spans="1:8">
      <c r="A17" s="133">
        <f t="shared" si="1"/>
        <v>6</v>
      </c>
      <c r="B17" s="29" t="s">
        <v>186</v>
      </c>
      <c r="C17" s="104">
        <v>18430</v>
      </c>
      <c r="D17" s="104">
        <v>27051</v>
      </c>
      <c r="E17" s="104">
        <v>36200</v>
      </c>
      <c r="F17" s="47">
        <f t="shared" ref="F17:F24" si="3">AVERAGE(C17,D17,E17)</f>
        <v>27227</v>
      </c>
      <c r="G17" s="133">
        <f t="shared" si="2"/>
        <v>6</v>
      </c>
    </row>
    <row r="18" spans="1:8">
      <c r="A18" s="136">
        <f t="shared" si="1"/>
        <v>7</v>
      </c>
      <c r="B18" s="29" t="s">
        <v>187</v>
      </c>
      <c r="C18" s="104">
        <v>16170</v>
      </c>
      <c r="D18" s="104">
        <v>21527</v>
      </c>
      <c r="E18" s="104">
        <v>16170</v>
      </c>
      <c r="F18" s="47">
        <f t="shared" si="3"/>
        <v>17955.666666666668</v>
      </c>
      <c r="G18" s="136">
        <f t="shared" si="2"/>
        <v>7</v>
      </c>
    </row>
    <row r="19" spans="1:8">
      <c r="A19" s="133">
        <f t="shared" si="1"/>
        <v>8</v>
      </c>
      <c r="B19" s="29" t="s">
        <v>188</v>
      </c>
      <c r="C19" s="104">
        <v>79120</v>
      </c>
      <c r="D19" s="104">
        <v>106109</v>
      </c>
      <c r="E19" s="104">
        <v>178070</v>
      </c>
      <c r="F19" s="47">
        <f t="shared" si="3"/>
        <v>121099.66666666667</v>
      </c>
      <c r="G19" s="136">
        <f t="shared" si="2"/>
        <v>8</v>
      </c>
    </row>
    <row r="20" spans="1:8">
      <c r="A20" s="133">
        <f t="shared" si="1"/>
        <v>9</v>
      </c>
      <c r="B20" s="29" t="s">
        <v>189</v>
      </c>
      <c r="C20" s="104">
        <v>31819</v>
      </c>
      <c r="D20" s="104">
        <v>33075</v>
      </c>
      <c r="E20" s="104">
        <v>31819</v>
      </c>
      <c r="F20" s="47">
        <f t="shared" si="3"/>
        <v>32237.666666666668</v>
      </c>
      <c r="G20" s="136">
        <f t="shared" si="2"/>
        <v>9</v>
      </c>
    </row>
    <row r="21" spans="1:8">
      <c r="A21" s="133">
        <f t="shared" si="1"/>
        <v>10</v>
      </c>
      <c r="B21" s="29" t="s">
        <v>190</v>
      </c>
      <c r="C21" s="104">
        <v>4833</v>
      </c>
      <c r="D21" s="104">
        <v>2531</v>
      </c>
      <c r="E21" s="104">
        <v>3029</v>
      </c>
      <c r="F21" s="47">
        <f t="shared" si="3"/>
        <v>3464.3333333333335</v>
      </c>
      <c r="G21" s="133">
        <f t="shared" si="2"/>
        <v>10</v>
      </c>
    </row>
    <row r="22" spans="1:8">
      <c r="A22" s="133">
        <f t="shared" si="1"/>
        <v>11</v>
      </c>
      <c r="B22" s="29" t="s">
        <v>191</v>
      </c>
      <c r="C22" s="104">
        <v>71155</v>
      </c>
      <c r="D22" s="104">
        <v>94462</v>
      </c>
      <c r="E22" s="104">
        <v>114145</v>
      </c>
      <c r="F22" s="47">
        <f t="shared" si="3"/>
        <v>93254</v>
      </c>
      <c r="G22" s="133">
        <f t="shared" si="2"/>
        <v>11</v>
      </c>
    </row>
    <row r="23" spans="1:8">
      <c r="A23" s="133">
        <f t="shared" si="1"/>
        <v>12</v>
      </c>
      <c r="B23" s="29" t="s">
        <v>192</v>
      </c>
      <c r="C23" s="104">
        <v>13948</v>
      </c>
      <c r="D23" s="104">
        <v>25924</v>
      </c>
      <c r="E23" s="104">
        <v>48346</v>
      </c>
      <c r="F23" s="47">
        <f t="shared" si="3"/>
        <v>29406</v>
      </c>
      <c r="G23" s="133">
        <f t="shared" si="2"/>
        <v>12</v>
      </c>
    </row>
    <row r="24" spans="1:8">
      <c r="A24" s="133">
        <f t="shared" si="1"/>
        <v>13</v>
      </c>
      <c r="B24" s="29" t="s">
        <v>193</v>
      </c>
      <c r="C24" s="104">
        <v>46253</v>
      </c>
      <c r="D24" s="104">
        <v>43047</v>
      </c>
      <c r="E24" s="104">
        <v>45447</v>
      </c>
      <c r="F24" s="47">
        <f t="shared" si="3"/>
        <v>44915.666666666664</v>
      </c>
      <c r="G24" s="133">
        <f t="shared" si="2"/>
        <v>13</v>
      </c>
    </row>
    <row r="25" spans="1:8" ht="13.5" thickBot="1">
      <c r="A25" s="133">
        <f t="shared" si="1"/>
        <v>14</v>
      </c>
      <c r="B25" s="29" t="s">
        <v>1</v>
      </c>
      <c r="C25" s="48">
        <f>SUM(C12:C24)</f>
        <v>414088</v>
      </c>
      <c r="D25" s="48">
        <f>SUM(D12:D24)</f>
        <v>557464</v>
      </c>
      <c r="E25" s="48">
        <f>SUM(E12:E24)</f>
        <v>669697</v>
      </c>
      <c r="F25" s="48">
        <f>SUM(F12:F24)</f>
        <v>547083</v>
      </c>
      <c r="G25" s="133">
        <f t="shared" si="2"/>
        <v>14</v>
      </c>
    </row>
    <row r="26" spans="1:8" ht="13.5" thickTop="1">
      <c r="A26" s="175">
        <f t="shared" si="1"/>
        <v>15</v>
      </c>
      <c r="C26" s="148"/>
      <c r="D26" s="148"/>
      <c r="E26" s="148"/>
      <c r="F26" s="148"/>
      <c r="G26" s="175">
        <f t="shared" si="2"/>
        <v>15</v>
      </c>
    </row>
    <row r="27" spans="1:8">
      <c r="A27" s="175">
        <f t="shared" si="1"/>
        <v>16</v>
      </c>
      <c r="B27" s="158" t="s">
        <v>127</v>
      </c>
      <c r="C27" s="47"/>
      <c r="D27" s="47"/>
      <c r="E27" s="28"/>
      <c r="F27" s="28"/>
      <c r="G27" s="175">
        <f t="shared" si="2"/>
        <v>16</v>
      </c>
    </row>
    <row r="28" spans="1:8">
      <c r="A28" s="175">
        <f t="shared" si="1"/>
        <v>17</v>
      </c>
      <c r="B28" s="154" t="s">
        <v>130</v>
      </c>
      <c r="C28" s="152">
        <f>C13/(C25-C24-C13)</f>
        <v>2.3735298285390391E-3</v>
      </c>
      <c r="D28" s="152">
        <f>D13/(D25-D24-D13)</f>
        <v>2.0199462386536289E-3</v>
      </c>
      <c r="E28" s="152">
        <f>E13/(E25-E24-E13)</f>
        <v>1.7604023409981177E-3</v>
      </c>
      <c r="F28" s="152">
        <f>F13/(F25-F24-F13)</f>
        <v>1.9986737585775032E-3</v>
      </c>
      <c r="G28" s="175">
        <f t="shared" si="2"/>
        <v>17</v>
      </c>
      <c r="H28" s="47"/>
    </row>
    <row r="29" spans="1:8">
      <c r="A29" s="175">
        <f t="shared" si="1"/>
        <v>18</v>
      </c>
      <c r="B29" s="154" t="s">
        <v>144</v>
      </c>
      <c r="C29" s="47">
        <f>C28*(C25-C13-C15-C17-C23-C24)</f>
        <v>741.54768315148078</v>
      </c>
      <c r="D29" s="47">
        <f>D28*(D25-D13-D15-D17-D23-D24)</f>
        <v>889.46514667497763</v>
      </c>
      <c r="E29" s="47">
        <f>E28*(E25-E13-E15-E17-E23-E24)</f>
        <v>912.1419105741287</v>
      </c>
      <c r="F29" s="47">
        <f>F28*(F25-F13-F15-F17-F23-F24)</f>
        <v>846.71082261332526</v>
      </c>
      <c r="G29" s="175">
        <f t="shared" si="2"/>
        <v>18</v>
      </c>
    </row>
    <row r="30" spans="1:8">
      <c r="A30" s="175">
        <f t="shared" si="1"/>
        <v>19</v>
      </c>
      <c r="B30" s="154" t="s">
        <v>145</v>
      </c>
      <c r="C30" s="153">
        <f>C28*(C15+C17+C23)</f>
        <v>129.45231684851919</v>
      </c>
      <c r="D30" s="153">
        <f>D28*(D15+D17+D23)</f>
        <v>147.5348533250224</v>
      </c>
      <c r="E30" s="153">
        <f>E28*(E15+E17+E23)</f>
        <v>184.85808942587133</v>
      </c>
      <c r="F30" s="153">
        <f>F28*(F15+F17+F23)</f>
        <v>154.95584405334142</v>
      </c>
      <c r="G30" s="175">
        <f t="shared" si="2"/>
        <v>19</v>
      </c>
    </row>
    <row r="31" spans="1:8">
      <c r="A31" s="175">
        <f t="shared" si="1"/>
        <v>20</v>
      </c>
      <c r="B31" s="154" t="s">
        <v>1</v>
      </c>
      <c r="C31" s="47">
        <f>SUM(C29:C30)</f>
        <v>871</v>
      </c>
      <c r="D31" s="47">
        <f>SUM(D29:D30)</f>
        <v>1037</v>
      </c>
      <c r="E31" s="47">
        <f>SUM(E29:E30)</f>
        <v>1097</v>
      </c>
      <c r="F31" s="47">
        <f>SUM(F29:F30)</f>
        <v>1001.6666666666667</v>
      </c>
      <c r="G31" s="175">
        <f t="shared" si="2"/>
        <v>20</v>
      </c>
    </row>
    <row r="32" spans="1:8">
      <c r="A32" s="175">
        <f t="shared" si="1"/>
        <v>21</v>
      </c>
      <c r="C32" s="47"/>
      <c r="D32" s="47"/>
      <c r="E32" s="47"/>
      <c r="F32" s="47"/>
      <c r="G32" s="175">
        <f t="shared" si="2"/>
        <v>21</v>
      </c>
    </row>
    <row r="33" spans="1:9">
      <c r="A33" s="175">
        <f t="shared" si="1"/>
        <v>22</v>
      </c>
      <c r="B33" s="154" t="s">
        <v>146</v>
      </c>
      <c r="C33" s="47">
        <f>C28*C14</f>
        <v>24.084207170185628</v>
      </c>
      <c r="D33" s="47">
        <f>D28*D14</f>
        <v>13.681095874401029</v>
      </c>
      <c r="E33" s="47">
        <f>E28*E14</f>
        <v>16.033744521810856</v>
      </c>
      <c r="F33" s="47">
        <f>F28*F14</f>
        <v>17.340493529418417</v>
      </c>
      <c r="G33" s="175">
        <f t="shared" si="2"/>
        <v>22</v>
      </c>
    </row>
    <row r="34" spans="1:9">
      <c r="A34" s="175">
        <f t="shared" si="1"/>
        <v>23</v>
      </c>
      <c r="B34" s="154" t="s">
        <v>147</v>
      </c>
      <c r="C34" s="47">
        <f>C28*C15</f>
        <v>52.602168060082185</v>
      </c>
      <c r="D34" s="47">
        <f>D28*D15</f>
        <v>40.528201332346413</v>
      </c>
      <c r="E34" s="47">
        <f>E28*E15</f>
        <v>36.02311310384448</v>
      </c>
      <c r="F34" s="47">
        <f>F28*F15</f>
        <v>41.764953083821695</v>
      </c>
      <c r="G34" s="175">
        <f t="shared" si="2"/>
        <v>23</v>
      </c>
      <c r="H34" s="47"/>
    </row>
    <row r="35" spans="1:9">
      <c r="A35" s="175">
        <f t="shared" si="1"/>
        <v>24</v>
      </c>
      <c r="C35" s="119"/>
      <c r="D35" s="119"/>
      <c r="E35" s="119"/>
      <c r="F35" s="119"/>
      <c r="G35" s="175">
        <f t="shared" si="2"/>
        <v>24</v>
      </c>
    </row>
    <row r="36" spans="1:9">
      <c r="A36" s="175">
        <f t="shared" si="1"/>
        <v>25</v>
      </c>
      <c r="B36" s="158" t="s">
        <v>128</v>
      </c>
      <c r="G36" s="175">
        <f t="shared" si="2"/>
        <v>25</v>
      </c>
    </row>
    <row r="37" spans="1:9">
      <c r="A37" s="175">
        <f t="shared" si="1"/>
        <v>26</v>
      </c>
      <c r="B37" s="154" t="s">
        <v>148</v>
      </c>
      <c r="C37" s="155">
        <f>C22/(C25-C15-C17-C22-C23-C24-C30)</f>
        <v>0.29401611079017337</v>
      </c>
      <c r="D37" s="155">
        <f>D22/(D25-D15-D17-D22-D23-D24-D30)</f>
        <v>0.27240654642585443</v>
      </c>
      <c r="E37" s="155">
        <f>E22/(E25-E15-E17-E22-E23-E24-E30)</f>
        <v>0.28190135608866324</v>
      </c>
      <c r="F37" s="155">
        <f>F22/(F25-F15-F17-F22-F23-F24-F30)</f>
        <v>0.28153932043500057</v>
      </c>
      <c r="G37" s="175">
        <f t="shared" si="2"/>
        <v>26</v>
      </c>
      <c r="I37" s="67"/>
    </row>
    <row r="38" spans="1:9">
      <c r="A38" s="175">
        <f t="shared" si="1"/>
        <v>27</v>
      </c>
      <c r="B38" s="154" t="s">
        <v>194</v>
      </c>
      <c r="C38" s="156">
        <f>C37*(C25-C15-C17-C22-C23-C24-C30)</f>
        <v>71155</v>
      </c>
      <c r="D38" s="156">
        <f>D37*(D25-D15-D17-D22-D23-D24-D30)</f>
        <v>94462</v>
      </c>
      <c r="E38" s="156">
        <f>E37*(E25-E15-E17-E22-E23-E24-E30)</f>
        <v>114145</v>
      </c>
      <c r="F38" s="156">
        <f>F37*(F25-F15-F17-F22-F23-F24-F30)</f>
        <v>93254</v>
      </c>
      <c r="G38" s="175">
        <f t="shared" si="2"/>
        <v>27</v>
      </c>
    </row>
    <row r="39" spans="1:9">
      <c r="A39" s="175">
        <f t="shared" si="1"/>
        <v>28</v>
      </c>
      <c r="B39" s="154"/>
      <c r="C39" s="156"/>
      <c r="D39" s="156"/>
      <c r="E39" s="156"/>
      <c r="F39" s="156"/>
      <c r="G39" s="175">
        <f t="shared" si="2"/>
        <v>28</v>
      </c>
    </row>
    <row r="40" spans="1:9">
      <c r="A40" s="175">
        <f t="shared" si="1"/>
        <v>29</v>
      </c>
      <c r="B40" s="154" t="s">
        <v>149</v>
      </c>
      <c r="C40" s="47">
        <f>C37*C14</f>
        <v>2983.3814761878893</v>
      </c>
      <c r="D40" s="47">
        <f>D37*D14</f>
        <v>1845.009538942312</v>
      </c>
      <c r="E40" s="47">
        <f>E37*E14</f>
        <v>2567.5575512555447</v>
      </c>
      <c r="F40" s="47">
        <f>F37*F14</f>
        <v>2442.6351440940648</v>
      </c>
      <c r="G40" s="175">
        <f t="shared" si="2"/>
        <v>29</v>
      </c>
      <c r="H40" s="47"/>
    </row>
    <row r="41" spans="1:9">
      <c r="A41" s="175">
        <f t="shared" si="1"/>
        <v>30</v>
      </c>
      <c r="B41" s="154"/>
      <c r="C41" s="119"/>
      <c r="D41" s="119"/>
      <c r="E41" s="119"/>
      <c r="F41" s="119"/>
      <c r="G41" s="175">
        <f t="shared" si="2"/>
        <v>30</v>
      </c>
    </row>
    <row r="42" spans="1:9">
      <c r="A42" s="175">
        <f t="shared" si="1"/>
        <v>31</v>
      </c>
      <c r="B42" s="158" t="s">
        <v>129</v>
      </c>
      <c r="G42" s="175">
        <f t="shared" si="2"/>
        <v>31</v>
      </c>
    </row>
    <row r="43" spans="1:9">
      <c r="A43" s="175">
        <f t="shared" si="1"/>
        <v>32</v>
      </c>
      <c r="B43" s="154" t="s">
        <v>150</v>
      </c>
      <c r="C43" s="155">
        <f>C23/(C15+C17+C30)</f>
        <v>0.34252216476643221</v>
      </c>
      <c r="D43" s="155">
        <f>D23/(D15+D17+D30)</f>
        <v>0.5485105714378794</v>
      </c>
      <c r="E43" s="155">
        <f>E23/(E15+E17+E30)</f>
        <v>0.85044541034330934</v>
      </c>
      <c r="F43" s="155">
        <f>F23/(F15+F17+F30)</f>
        <v>0.60909366303256729</v>
      </c>
      <c r="G43" s="175">
        <f t="shared" si="2"/>
        <v>32</v>
      </c>
      <c r="I43" s="67"/>
    </row>
    <row r="44" spans="1:9">
      <c r="A44" s="175">
        <f t="shared" si="1"/>
        <v>33</v>
      </c>
      <c r="B44" s="154" t="s">
        <v>195</v>
      </c>
      <c r="C44" s="157">
        <f>C43*(C15+C17+C30)</f>
        <v>13948</v>
      </c>
      <c r="D44" s="157">
        <f>D43*(D15+D17+D30)</f>
        <v>25924</v>
      </c>
      <c r="E44" s="157">
        <f>E43*(E15+E17+E30)</f>
        <v>48346</v>
      </c>
      <c r="F44" s="157">
        <f>F43*(F15+F17+F30)</f>
        <v>29405.999999999996</v>
      </c>
      <c r="G44" s="175">
        <f t="shared" si="2"/>
        <v>33</v>
      </c>
    </row>
    <row r="45" spans="1:9">
      <c r="A45" s="175">
        <f t="shared" si="1"/>
        <v>34</v>
      </c>
      <c r="B45" s="154"/>
      <c r="C45" s="47"/>
      <c r="D45" s="47"/>
      <c r="E45" s="47"/>
      <c r="F45" s="47"/>
      <c r="G45" s="175">
        <f t="shared" si="2"/>
        <v>34</v>
      </c>
    </row>
    <row r="46" spans="1:9">
      <c r="A46" s="175">
        <f t="shared" si="1"/>
        <v>35</v>
      </c>
      <c r="B46" s="154" t="s">
        <v>151</v>
      </c>
      <c r="C46" s="47">
        <f>C43*C15</f>
        <v>7590.976215553671</v>
      </c>
      <c r="D46" s="47">
        <f>D43*D15</f>
        <v>11005.316105329612</v>
      </c>
      <c r="E46" s="47">
        <f>E43*E15</f>
        <v>17402.664431855141</v>
      </c>
      <c r="F46" s="47">
        <f>F43*F15</f>
        <v>12727.824213949536</v>
      </c>
      <c r="G46" s="175">
        <f t="shared" si="2"/>
        <v>35</v>
      </c>
    </row>
    <row r="47" spans="1:9">
      <c r="A47" s="175">
        <f t="shared" si="1"/>
        <v>36</v>
      </c>
      <c r="B47" s="154"/>
      <c r="C47" s="47"/>
      <c r="D47" s="47"/>
      <c r="G47" s="175">
        <f t="shared" si="2"/>
        <v>36</v>
      </c>
    </row>
    <row r="48" spans="1:9">
      <c r="A48" s="175">
        <f t="shared" si="1"/>
        <v>37</v>
      </c>
      <c r="B48" s="154"/>
      <c r="C48" s="47"/>
      <c r="D48" s="47"/>
      <c r="G48" s="175">
        <f t="shared" si="2"/>
        <v>37</v>
      </c>
    </row>
    <row r="49" spans="1:7" ht="13.5" thickBot="1">
      <c r="A49" s="175">
        <f t="shared" si="1"/>
        <v>38</v>
      </c>
      <c r="B49" s="29" t="s">
        <v>135</v>
      </c>
      <c r="G49" s="175">
        <f t="shared" si="2"/>
        <v>38</v>
      </c>
    </row>
    <row r="50" spans="1:7">
      <c r="A50" s="175">
        <f t="shared" si="1"/>
        <v>39</v>
      </c>
      <c r="B50" s="159" t="s">
        <v>135</v>
      </c>
      <c r="C50" s="160">
        <f>C14+C33+C40</f>
        <v>13154.465683358076</v>
      </c>
      <c r="D50" s="160">
        <f>D14+D33+D40</f>
        <v>8631.6906348167122</v>
      </c>
      <c r="E50" s="160">
        <f>E14+E33+E40</f>
        <v>11691.591295777354</v>
      </c>
      <c r="F50" s="161">
        <f>(F14)*((F13/(F25-F24-F13))+(F22/(F25-F15-F17-F23-F22))+1)</f>
        <v>10843.413362758642</v>
      </c>
      <c r="G50" s="175">
        <f t="shared" si="2"/>
        <v>39</v>
      </c>
    </row>
    <row r="51" spans="1:7">
      <c r="A51" s="175">
        <f t="shared" si="1"/>
        <v>40</v>
      </c>
      <c r="B51" s="34" t="s">
        <v>131</v>
      </c>
      <c r="C51" s="162"/>
      <c r="D51" s="162"/>
      <c r="E51" s="162"/>
      <c r="F51" s="163"/>
      <c r="G51" s="175">
        <f t="shared" si="2"/>
        <v>40</v>
      </c>
    </row>
    <row r="52" spans="1:7" s="28" customFormat="1">
      <c r="A52" s="175">
        <f t="shared" si="1"/>
        <v>41</v>
      </c>
      <c r="B52" s="37"/>
      <c r="C52" s="164"/>
      <c r="D52" s="164"/>
      <c r="E52" s="164"/>
      <c r="F52" s="165"/>
      <c r="G52" s="175">
        <f t="shared" si="2"/>
        <v>41</v>
      </c>
    </row>
    <row r="53" spans="1:7" s="28" customFormat="1">
      <c r="A53" s="175">
        <f t="shared" si="1"/>
        <v>42</v>
      </c>
      <c r="B53" s="37" t="s">
        <v>136</v>
      </c>
      <c r="C53" s="166">
        <f>(C25-C15-C17-C23-C24-C30)</f>
        <v>313165.5476831515</v>
      </c>
      <c r="D53" s="166">
        <f t="shared" ref="D53:F53" si="4">(D25-D15-D17-D23-D24-D30)</f>
        <v>441230.46514667495</v>
      </c>
      <c r="E53" s="166">
        <f t="shared" si="4"/>
        <v>519056.14191057411</v>
      </c>
      <c r="F53" s="167">
        <f t="shared" si="4"/>
        <v>424483.04415594658</v>
      </c>
      <c r="G53" s="175">
        <f t="shared" si="2"/>
        <v>42</v>
      </c>
    </row>
    <row r="54" spans="1:7" s="28" customFormat="1">
      <c r="A54" s="175">
        <f t="shared" si="1"/>
        <v>43</v>
      </c>
      <c r="B54" s="37" t="s">
        <v>152</v>
      </c>
      <c r="C54" s="166"/>
      <c r="D54" s="166"/>
      <c r="E54" s="166"/>
      <c r="F54" s="36"/>
      <c r="G54" s="175">
        <f t="shared" si="2"/>
        <v>43</v>
      </c>
    </row>
    <row r="55" spans="1:7">
      <c r="A55" s="175">
        <f t="shared" si="1"/>
        <v>44</v>
      </c>
      <c r="B55" s="37"/>
      <c r="C55" s="35"/>
      <c r="D55" s="35"/>
      <c r="E55" s="35"/>
      <c r="F55" s="36"/>
      <c r="G55" s="175">
        <f t="shared" si="2"/>
        <v>44</v>
      </c>
    </row>
    <row r="56" spans="1:7">
      <c r="A56" s="175">
        <f t="shared" si="1"/>
        <v>45</v>
      </c>
      <c r="B56" s="37" t="s">
        <v>137</v>
      </c>
      <c r="C56" s="168">
        <f>C50/C53</f>
        <v>4.2004830290805949E-2</v>
      </c>
      <c r="D56" s="168">
        <f>D50/D53</f>
        <v>1.9562771197014567E-2</v>
      </c>
      <c r="E56" s="168">
        <f>E50/E53</f>
        <v>2.2524714287634126E-2</v>
      </c>
      <c r="F56" s="169">
        <f>F50/F53</f>
        <v>2.5544985864676819E-2</v>
      </c>
      <c r="G56" s="175">
        <f t="shared" si="2"/>
        <v>45</v>
      </c>
    </row>
    <row r="57" spans="1:7" ht="13.5" thickBot="1">
      <c r="A57" s="175">
        <f t="shared" si="1"/>
        <v>46</v>
      </c>
      <c r="B57" s="40" t="s">
        <v>138</v>
      </c>
      <c r="C57" s="41"/>
      <c r="D57" s="41"/>
      <c r="E57" s="41"/>
      <c r="F57" s="42"/>
      <c r="G57" s="175">
        <f t="shared" si="2"/>
        <v>46</v>
      </c>
    </row>
    <row r="58" spans="1:7">
      <c r="A58" s="175">
        <f t="shared" si="1"/>
        <v>47</v>
      </c>
      <c r="G58" s="175">
        <f t="shared" si="2"/>
        <v>47</v>
      </c>
    </row>
    <row r="59" spans="1:7" ht="13.5" thickBot="1">
      <c r="A59" s="175">
        <f t="shared" si="1"/>
        <v>48</v>
      </c>
      <c r="B59" s="29" t="s">
        <v>134</v>
      </c>
      <c r="G59" s="175">
        <f t="shared" si="2"/>
        <v>48</v>
      </c>
    </row>
    <row r="60" spans="1:7">
      <c r="A60" s="175">
        <f t="shared" si="1"/>
        <v>49</v>
      </c>
      <c r="B60" s="159" t="s">
        <v>134</v>
      </c>
      <c r="C60" s="160">
        <f>C15+C34+C46</f>
        <v>29805.578383613753</v>
      </c>
      <c r="D60" s="160">
        <f>D15+D34+D46</f>
        <v>31109.844306661958</v>
      </c>
      <c r="E60" s="160">
        <f>E15+E34+E46</f>
        <v>37901.687544958986</v>
      </c>
      <c r="F60" s="161">
        <f>F15*(F13/(F25-F24-F13)+F23/(F15+F17)+1)</f>
        <v>33706.905753342413</v>
      </c>
      <c r="G60" s="175">
        <f t="shared" si="2"/>
        <v>49</v>
      </c>
    </row>
    <row r="61" spans="1:7">
      <c r="A61" s="175">
        <f t="shared" si="1"/>
        <v>50</v>
      </c>
      <c r="B61" s="34" t="s">
        <v>132</v>
      </c>
      <c r="C61" s="162"/>
      <c r="D61" s="162"/>
      <c r="E61" s="162"/>
      <c r="F61" s="167"/>
      <c r="G61" s="175">
        <f t="shared" si="2"/>
        <v>50</v>
      </c>
    </row>
    <row r="62" spans="1:7">
      <c r="A62" s="175">
        <f t="shared" si="1"/>
        <v>51</v>
      </c>
      <c r="B62" s="37"/>
      <c r="C62" s="35"/>
      <c r="D62" s="35"/>
      <c r="E62" s="35"/>
      <c r="F62" s="36"/>
      <c r="G62" s="175">
        <f t="shared" si="2"/>
        <v>51</v>
      </c>
    </row>
    <row r="63" spans="1:7">
      <c r="A63" s="175">
        <f t="shared" si="1"/>
        <v>52</v>
      </c>
      <c r="B63" s="37" t="s">
        <v>61</v>
      </c>
      <c r="C63" s="166">
        <f>C15+C17+C23+C30</f>
        <v>54669.452316848518</v>
      </c>
      <c r="D63" s="166">
        <f t="shared" ref="D63:F63" si="5">D15+D17+D23+D30</f>
        <v>73186.534853325022</v>
      </c>
      <c r="E63" s="166">
        <f t="shared" si="5"/>
        <v>105193.85808942588</v>
      </c>
      <c r="F63" s="167">
        <f t="shared" si="5"/>
        <v>77684.289177386672</v>
      </c>
      <c r="G63" s="175">
        <f t="shared" si="2"/>
        <v>52</v>
      </c>
    </row>
    <row r="64" spans="1:7">
      <c r="A64" s="175">
        <f t="shared" si="1"/>
        <v>53</v>
      </c>
      <c r="B64" s="37" t="s">
        <v>153</v>
      </c>
      <c r="C64" s="35"/>
      <c r="D64" s="35"/>
      <c r="E64" s="35"/>
      <c r="F64" s="36"/>
      <c r="G64" s="175">
        <f t="shared" si="2"/>
        <v>53</v>
      </c>
    </row>
    <row r="65" spans="1:7">
      <c r="A65" s="175">
        <f t="shared" si="1"/>
        <v>54</v>
      </c>
      <c r="B65" s="37"/>
      <c r="C65" s="35"/>
      <c r="D65" s="35"/>
      <c r="E65" s="35"/>
      <c r="F65" s="36"/>
      <c r="G65" s="175">
        <f t="shared" si="2"/>
        <v>54</v>
      </c>
    </row>
    <row r="66" spans="1:7">
      <c r="A66" s="175">
        <f t="shared" si="1"/>
        <v>55</v>
      </c>
      <c r="B66" s="37" t="s">
        <v>139</v>
      </c>
      <c r="C66" s="168">
        <f>C60/C63</f>
        <v>0.54519621325030188</v>
      </c>
      <c r="D66" s="168">
        <f>D60/D63</f>
        <v>0.42507606582290008</v>
      </c>
      <c r="E66" s="168">
        <f>E60/E63</f>
        <v>0.36030323664655928</v>
      </c>
      <c r="F66" s="169">
        <f>F60/F63</f>
        <v>0.43389604397840387</v>
      </c>
      <c r="G66" s="175">
        <f t="shared" si="2"/>
        <v>55</v>
      </c>
    </row>
    <row r="67" spans="1:7" ht="13.5" thickBot="1">
      <c r="A67" s="175">
        <f t="shared" si="1"/>
        <v>56</v>
      </c>
      <c r="B67" s="40" t="s">
        <v>140</v>
      </c>
      <c r="C67" s="170"/>
      <c r="D67" s="41"/>
      <c r="E67" s="41"/>
      <c r="F67" s="171"/>
      <c r="G67" s="175">
        <f t="shared" si="2"/>
        <v>56</v>
      </c>
    </row>
    <row r="68" spans="1:7">
      <c r="A68" s="175">
        <f t="shared" si="1"/>
        <v>57</v>
      </c>
      <c r="B68" s="28"/>
      <c r="C68" s="47"/>
      <c r="F68" s="65"/>
      <c r="G68" s="175">
        <f t="shared" si="2"/>
        <v>57</v>
      </c>
    </row>
    <row r="69" spans="1:7" ht="13.5" thickBot="1">
      <c r="A69" s="175">
        <f t="shared" si="1"/>
        <v>58</v>
      </c>
      <c r="B69" s="28" t="s">
        <v>133</v>
      </c>
      <c r="C69" s="47"/>
      <c r="F69" s="65"/>
      <c r="G69" s="175">
        <f t="shared" si="2"/>
        <v>58</v>
      </c>
    </row>
    <row r="70" spans="1:7">
      <c r="A70" s="175">
        <f t="shared" si="1"/>
        <v>59</v>
      </c>
      <c r="B70" s="172" t="s">
        <v>110</v>
      </c>
      <c r="C70" s="160">
        <f>C50+C60</f>
        <v>42960.04406697183</v>
      </c>
      <c r="D70" s="160">
        <f>D50+D60</f>
        <v>39741.534941478669</v>
      </c>
      <c r="E70" s="160">
        <f>E50+E60</f>
        <v>49593.27884073634</v>
      </c>
      <c r="F70" s="161">
        <f>F50+F60</f>
        <v>44550.319116101055</v>
      </c>
      <c r="G70" s="175">
        <f t="shared" si="2"/>
        <v>59</v>
      </c>
    </row>
    <row r="71" spans="1:7">
      <c r="A71" s="175">
        <f t="shared" si="1"/>
        <v>60</v>
      </c>
      <c r="B71" s="34" t="s">
        <v>141</v>
      </c>
      <c r="C71" s="166"/>
      <c r="D71" s="35"/>
      <c r="E71" s="35"/>
      <c r="F71" s="173"/>
      <c r="G71" s="175">
        <f t="shared" si="2"/>
        <v>60</v>
      </c>
    </row>
    <row r="72" spans="1:7">
      <c r="A72" s="175">
        <f t="shared" si="1"/>
        <v>61</v>
      </c>
      <c r="B72" s="34"/>
      <c r="C72" s="166"/>
      <c r="D72" s="35"/>
      <c r="E72" s="35"/>
      <c r="F72" s="173"/>
      <c r="G72" s="175">
        <f t="shared" si="2"/>
        <v>61</v>
      </c>
    </row>
    <row r="73" spans="1:7">
      <c r="A73" s="175">
        <f t="shared" si="1"/>
        <v>62</v>
      </c>
      <c r="B73" s="34" t="s">
        <v>142</v>
      </c>
      <c r="C73" s="168">
        <f>C70/(C53+C63)</f>
        <v>0.11679161598807028</v>
      </c>
      <c r="D73" s="168">
        <f t="shared" ref="D73:F73" si="6">D70/(D53+D63)</f>
        <v>7.7255485222064338E-2</v>
      </c>
      <c r="E73" s="168">
        <f t="shared" si="6"/>
        <v>7.944457964074704E-2</v>
      </c>
      <c r="F73" s="169">
        <f t="shared" si="6"/>
        <v>8.871608358190243E-2</v>
      </c>
      <c r="G73" s="175">
        <f t="shared" si="2"/>
        <v>62</v>
      </c>
    </row>
    <row r="74" spans="1:7" ht="13.5" thickBot="1">
      <c r="A74" s="175">
        <f t="shared" si="1"/>
        <v>63</v>
      </c>
      <c r="B74" s="40" t="s">
        <v>143</v>
      </c>
      <c r="C74" s="170"/>
      <c r="D74" s="41"/>
      <c r="E74" s="41"/>
      <c r="F74" s="171"/>
      <c r="G74" s="175">
        <f t="shared" si="2"/>
        <v>63</v>
      </c>
    </row>
    <row r="75" spans="1:7">
      <c r="A75" s="175"/>
      <c r="B75" s="99"/>
    </row>
    <row r="76" spans="1:7">
      <c r="A76" s="174" t="s">
        <v>79</v>
      </c>
      <c r="B76" s="28"/>
      <c r="C76" s="28"/>
      <c r="D76" s="28"/>
      <c r="E76" s="28"/>
      <c r="F76" s="28"/>
    </row>
    <row r="77" spans="1:7">
      <c r="A77" s="174"/>
      <c r="B77" s="99" t="s">
        <v>172</v>
      </c>
      <c r="C77" s="28"/>
      <c r="D77" s="28"/>
      <c r="E77" s="28"/>
      <c r="F77" s="28"/>
    </row>
    <row r="78" spans="1:7">
      <c r="A78" s="174"/>
      <c r="B78" s="99" t="s">
        <v>94</v>
      </c>
      <c r="C78" s="28"/>
      <c r="D78" s="28"/>
      <c r="E78" s="28"/>
      <c r="F78" s="28"/>
    </row>
    <row r="79" spans="1:7">
      <c r="A79" s="175"/>
      <c r="B79" s="99" t="s">
        <v>175</v>
      </c>
    </row>
    <row r="80" spans="1:7">
      <c r="A80" s="175"/>
      <c r="B80" s="99" t="s">
        <v>174</v>
      </c>
    </row>
    <row r="81" spans="1:2">
      <c r="A81" s="175"/>
      <c r="B81" s="53" t="s">
        <v>180</v>
      </c>
    </row>
    <row r="82" spans="1:2">
      <c r="A82" s="175"/>
      <c r="B82" s="53" t="s">
        <v>176</v>
      </c>
    </row>
    <row r="83" spans="1:2">
      <c r="A83" s="175"/>
      <c r="B83" s="53" t="s">
        <v>173</v>
      </c>
    </row>
    <row r="84" spans="1:2">
      <c r="A84" s="175"/>
      <c r="B84" s="53" t="s">
        <v>111</v>
      </c>
    </row>
    <row r="85" spans="1:2">
      <c r="A85" s="175"/>
      <c r="B85" s="101" t="s">
        <v>112</v>
      </c>
    </row>
    <row r="86" spans="1:2">
      <c r="A86" s="175"/>
    </row>
  </sheetData>
  <phoneticPr fontId="0" type="noConversion"/>
  <printOptions horizontalCentered="1"/>
  <pageMargins left="0.75" right="0.75" top="1" bottom="1" header="0.5" footer="0.5"/>
  <pageSetup scale="64" orientation="landscape" r:id="rId1"/>
  <headerFooter alignWithMargins="0">
    <oddFooter>&amp;L&amp;F   
&amp;A&amp;R&amp;P of &amp;N</oddFooter>
  </headerFooter>
  <rowBreaks count="1" manualBreakCount="1">
    <brk id="6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H48"/>
  <sheetViews>
    <sheetView zoomScale="90" zoomScaleNormal="90" workbookViewId="0">
      <selection activeCell="H33" sqref="H33"/>
    </sheetView>
  </sheetViews>
  <sheetFormatPr defaultColWidth="9.1796875" defaultRowHeight="13"/>
  <cols>
    <col min="1" max="1" width="5.26953125" style="46" bestFit="1" customWidth="1"/>
    <col min="2" max="2" width="61.36328125" style="29" customWidth="1"/>
    <col min="3" max="15" width="10.26953125" style="29" customWidth="1"/>
    <col min="16" max="16" width="5.26953125" style="29" bestFit="1" customWidth="1"/>
    <col min="17" max="17" width="9.1796875" style="29"/>
    <col min="18" max="18" width="12" style="29" bestFit="1" customWidth="1"/>
    <col min="19" max="16384" width="9.1796875" style="29"/>
  </cols>
  <sheetData>
    <row r="1" spans="1:34">
      <c r="A1" s="183" t="str">
        <f>'Marg Distrib Demand Cost Sum'!A1:E1</f>
        <v>SAN DIEGO GAS &amp; ELECTRIC COMPANY ("SDG&amp;E")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34">
      <c r="A2" s="183" t="str">
        <f>'Marg Distrib Demand Cost Sum'!A2:E2</f>
        <v>TEST YEAR ("TY") 2019 GENERAL RATE CASE ("GRC") PHASE 2, APPLICATION ("A.") 19-03-002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</row>
    <row r="3" spans="1:34">
      <c r="A3" s="52" t="str">
        <f>'Marg Distrib Demand Cost Sum'!A3:E3</f>
        <v>MARGINAL DISTRIBUTION DEMAND COST WORKPAPER - CHAPTER 5 (SAXE) - REBUTTAL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34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34">
      <c r="A5" s="55" t="s">
        <v>113</v>
      </c>
      <c r="B5" s="52"/>
      <c r="C5" s="55"/>
      <c r="D5" s="55"/>
      <c r="E5" s="55"/>
      <c r="F5" s="55"/>
      <c r="G5" s="55"/>
      <c r="H5" s="52"/>
      <c r="I5" s="52"/>
      <c r="J5" s="52"/>
      <c r="K5" s="52"/>
      <c r="L5" s="52"/>
      <c r="M5" s="52"/>
      <c r="N5" s="52"/>
      <c r="O5" s="52"/>
      <c r="P5" s="52"/>
    </row>
    <row r="6" spans="1:34">
      <c r="A6" s="46" t="s">
        <v>19</v>
      </c>
      <c r="P6" s="46" t="s">
        <v>19</v>
      </c>
    </row>
    <row r="7" spans="1:34" s="46" customFormat="1">
      <c r="A7" s="60" t="s">
        <v>67</v>
      </c>
      <c r="B7" s="60" t="s">
        <v>0</v>
      </c>
      <c r="C7" s="60">
        <v>2005</v>
      </c>
      <c r="D7" s="60">
        <v>2006</v>
      </c>
      <c r="E7" s="60">
        <v>2007</v>
      </c>
      <c r="F7" s="60">
        <v>2008</v>
      </c>
      <c r="G7" s="60">
        <v>2009</v>
      </c>
      <c r="H7" s="60">
        <v>2010</v>
      </c>
      <c r="I7" s="60">
        <v>2011</v>
      </c>
      <c r="J7" s="60">
        <v>2012</v>
      </c>
      <c r="K7" s="60">
        <v>2013</v>
      </c>
      <c r="L7" s="122">
        <v>2014</v>
      </c>
      <c r="M7" s="122">
        <v>2015</v>
      </c>
      <c r="N7" s="122">
        <v>2016</v>
      </c>
      <c r="O7" s="122">
        <v>2017</v>
      </c>
      <c r="P7" s="60" t="s">
        <v>67</v>
      </c>
    </row>
    <row r="8" spans="1:34">
      <c r="C8" s="47"/>
      <c r="D8" s="47"/>
      <c r="L8" s="28"/>
      <c r="M8" s="28"/>
      <c r="N8" s="28"/>
      <c r="O8" s="28"/>
      <c r="P8" s="46"/>
    </row>
    <row r="9" spans="1:34">
      <c r="B9" s="106" t="s">
        <v>62</v>
      </c>
      <c r="C9" s="47"/>
      <c r="D9" s="47"/>
      <c r="L9" s="28"/>
      <c r="M9" s="28"/>
      <c r="N9" s="28"/>
      <c r="O9" s="28"/>
      <c r="P9" s="46"/>
    </row>
    <row r="10" spans="1:34">
      <c r="C10" s="47"/>
      <c r="D10" s="47"/>
      <c r="L10" s="28"/>
      <c r="M10" s="28"/>
      <c r="N10" s="28"/>
      <c r="O10" s="28"/>
      <c r="P10" s="46"/>
    </row>
    <row r="11" spans="1:34">
      <c r="A11" s="46">
        <v>1</v>
      </c>
      <c r="B11" s="28" t="s">
        <v>7</v>
      </c>
      <c r="C11" s="104">
        <v>9667.2360000000008</v>
      </c>
      <c r="D11" s="104">
        <v>1684.3520000000001</v>
      </c>
      <c r="E11" s="104">
        <v>1993.202</v>
      </c>
      <c r="F11" s="104">
        <v>1121.6659999999999</v>
      </c>
      <c r="G11" s="104">
        <v>1624.499</v>
      </c>
      <c r="H11" s="104">
        <v>1995.934</v>
      </c>
      <c r="I11" s="104">
        <v>1979.203</v>
      </c>
      <c r="J11" s="104">
        <v>1824.518</v>
      </c>
      <c r="K11" s="104">
        <v>1450.7739999999999</v>
      </c>
      <c r="L11" s="104">
        <v>4920.9449999999997</v>
      </c>
      <c r="M11" s="104">
        <v>1616.3810000000001</v>
      </c>
      <c r="N11" s="104">
        <v>1528.9469999999999</v>
      </c>
      <c r="O11" s="104">
        <v>1764.8050000000001</v>
      </c>
      <c r="P11" s="46">
        <v>1</v>
      </c>
      <c r="Q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>
      <c r="A12" s="46">
        <f>A11+1</f>
        <v>2</v>
      </c>
      <c r="B12" s="28" t="s">
        <v>18</v>
      </c>
      <c r="C12" s="104">
        <v>13.005000000000001</v>
      </c>
      <c r="D12" s="104">
        <v>195.09800000000001</v>
      </c>
      <c r="E12" s="104">
        <v>94.049000000000007</v>
      </c>
      <c r="F12" s="104">
        <v>22.091000000000001</v>
      </c>
      <c r="G12" s="104">
        <v>3.335</v>
      </c>
      <c r="H12" s="104">
        <v>65.257000000000005</v>
      </c>
      <c r="I12" s="104">
        <v>178.69900000000001</v>
      </c>
      <c r="J12" s="104">
        <v>31.013999999999999</v>
      </c>
      <c r="K12" s="104">
        <v>491.94900000000001</v>
      </c>
      <c r="L12" s="104">
        <v>32.17</v>
      </c>
      <c r="M12" s="104">
        <v>-7.0999999999999994E-2</v>
      </c>
      <c r="N12" s="104">
        <v>632.30100000000004</v>
      </c>
      <c r="O12" s="104">
        <v>-33.622</v>
      </c>
      <c r="P12" s="46">
        <f>P11+1</f>
        <v>2</v>
      </c>
      <c r="Q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>
      <c r="A13" s="46">
        <f t="shared" ref="A13:A31" si="0">A12+1</f>
        <v>3</v>
      </c>
      <c r="B13" s="28" t="s">
        <v>8</v>
      </c>
      <c r="C13" s="104">
        <v>17159.687999999998</v>
      </c>
      <c r="D13" s="104">
        <v>15050.275</v>
      </c>
      <c r="E13" s="104">
        <v>20588.525000000001</v>
      </c>
      <c r="F13" s="104">
        <v>14533.432000000001</v>
      </c>
      <c r="G13" s="104">
        <v>23662.29</v>
      </c>
      <c r="H13" s="104">
        <v>25633.42</v>
      </c>
      <c r="I13" s="104">
        <v>33568.760999999999</v>
      </c>
      <c r="J13" s="104">
        <v>12127.403</v>
      </c>
      <c r="K13" s="104">
        <v>25311.081999999999</v>
      </c>
      <c r="L13" s="104">
        <v>39776.620000000003</v>
      </c>
      <c r="M13" s="104">
        <v>9852.518</v>
      </c>
      <c r="N13" s="104">
        <v>24545.646000000001</v>
      </c>
      <c r="O13" s="104">
        <v>18896.215</v>
      </c>
      <c r="P13" s="46">
        <f t="shared" ref="P13:P31" si="1">P12+1</f>
        <v>3</v>
      </c>
      <c r="Q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</row>
    <row r="14" spans="1:34">
      <c r="A14" s="46">
        <f t="shared" si="0"/>
        <v>4</v>
      </c>
      <c r="B14" s="28" t="s">
        <v>59</v>
      </c>
      <c r="C14" s="104">
        <v>0</v>
      </c>
      <c r="D14" s="104">
        <v>0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6219.0119999999997</v>
      </c>
      <c r="L14" s="104">
        <v>673.55200000000002</v>
      </c>
      <c r="M14" s="104">
        <v>30743.932000000001</v>
      </c>
      <c r="N14" s="104">
        <v>626.38699999999994</v>
      </c>
      <c r="O14" s="104">
        <v>86799.714999999997</v>
      </c>
      <c r="P14" s="46">
        <f t="shared" si="1"/>
        <v>4</v>
      </c>
      <c r="Q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spans="1:34">
      <c r="A15" s="46">
        <f t="shared" si="0"/>
        <v>5</v>
      </c>
      <c r="B15" s="28" t="s">
        <v>9</v>
      </c>
      <c r="C15" s="104">
        <v>20624.330999999998</v>
      </c>
      <c r="D15" s="104">
        <v>18020.495999999999</v>
      </c>
      <c r="E15" s="104">
        <v>54910.125999999997</v>
      </c>
      <c r="F15" s="104">
        <v>23118.23</v>
      </c>
      <c r="G15" s="104">
        <v>31921.308000000001</v>
      </c>
      <c r="H15" s="104">
        <v>39200.97</v>
      </c>
      <c r="I15" s="104">
        <v>28798.588</v>
      </c>
      <c r="J15" s="104">
        <v>28688.014999999999</v>
      </c>
      <c r="K15" s="104">
        <v>36488.207000000002</v>
      </c>
      <c r="L15" s="104">
        <v>44940.737000000001</v>
      </c>
      <c r="M15" s="104">
        <v>57766.235000000001</v>
      </c>
      <c r="N15" s="104">
        <v>41987.673999999999</v>
      </c>
      <c r="O15" s="104">
        <v>53470.904999999999</v>
      </c>
      <c r="P15" s="46">
        <f t="shared" si="1"/>
        <v>5</v>
      </c>
      <c r="Q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4">
      <c r="A16" s="46">
        <f t="shared" si="0"/>
        <v>6</v>
      </c>
      <c r="B16" s="28" t="s">
        <v>10</v>
      </c>
      <c r="C16" s="104">
        <v>15810.562</v>
      </c>
      <c r="D16" s="104">
        <v>14991.468999999999</v>
      </c>
      <c r="E16" s="104">
        <v>30967.341</v>
      </c>
      <c r="F16" s="104">
        <v>18973.544999999998</v>
      </c>
      <c r="G16" s="104">
        <v>25740.92</v>
      </c>
      <c r="H16" s="104">
        <v>25992.451000000001</v>
      </c>
      <c r="I16" s="104">
        <v>22575.234</v>
      </c>
      <c r="J16" s="104">
        <v>22302.311000000002</v>
      </c>
      <c r="K16" s="104">
        <v>23553.167000000001</v>
      </c>
      <c r="L16" s="104">
        <v>37422.968999999997</v>
      </c>
      <c r="M16" s="104">
        <v>86823.006999999998</v>
      </c>
      <c r="N16" s="104">
        <v>65814.148000000001</v>
      </c>
      <c r="O16" s="104">
        <v>72245.22</v>
      </c>
      <c r="P16" s="46">
        <f t="shared" si="1"/>
        <v>6</v>
      </c>
      <c r="Q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</row>
    <row r="17" spans="1:34">
      <c r="A17" s="46">
        <f t="shared" si="0"/>
        <v>7</v>
      </c>
      <c r="B17" s="28" t="s">
        <v>11</v>
      </c>
      <c r="C17" s="104">
        <v>32992.572</v>
      </c>
      <c r="D17" s="104">
        <v>42451.442000000003</v>
      </c>
      <c r="E17" s="104">
        <v>35560.347000000002</v>
      </c>
      <c r="F17" s="104">
        <v>52494.885999999999</v>
      </c>
      <c r="G17" s="104">
        <v>47181.328999999998</v>
      </c>
      <c r="H17" s="104">
        <v>36277.131000000001</v>
      </c>
      <c r="I17" s="104">
        <v>34688.205999999998</v>
      </c>
      <c r="J17" s="104">
        <v>51543.87</v>
      </c>
      <c r="K17" s="104">
        <v>45107.415000000001</v>
      </c>
      <c r="L17" s="104">
        <v>41227.036</v>
      </c>
      <c r="M17" s="104">
        <v>52047.726000000002</v>
      </c>
      <c r="N17" s="104">
        <v>77055.668000000005</v>
      </c>
      <c r="O17" s="104">
        <v>77662.334000000003</v>
      </c>
      <c r="P17" s="46">
        <f t="shared" si="1"/>
        <v>7</v>
      </c>
      <c r="Q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>
      <c r="A18" s="46">
        <f t="shared" si="0"/>
        <v>8</v>
      </c>
      <c r="B18" s="28" t="s">
        <v>12</v>
      </c>
      <c r="C18" s="104">
        <v>66707.346999999994</v>
      </c>
      <c r="D18" s="104">
        <v>73886.129000000001</v>
      </c>
      <c r="E18" s="104">
        <v>71263.862999999998</v>
      </c>
      <c r="F18" s="104">
        <v>56880.516000000003</v>
      </c>
      <c r="G18" s="104">
        <v>52148.703999999998</v>
      </c>
      <c r="H18" s="104">
        <v>52754.985000000001</v>
      </c>
      <c r="I18" s="104">
        <v>45632.671999999999</v>
      </c>
      <c r="J18" s="104">
        <v>63556.491000000002</v>
      </c>
      <c r="K18" s="104">
        <v>49766.701999999997</v>
      </c>
      <c r="L18" s="104">
        <v>45203.245999999999</v>
      </c>
      <c r="M18" s="104">
        <v>60904.39</v>
      </c>
      <c r="N18" s="104">
        <v>60691.737000000001</v>
      </c>
      <c r="O18" s="104">
        <v>72843.972999999998</v>
      </c>
      <c r="P18" s="46">
        <f t="shared" si="1"/>
        <v>8</v>
      </c>
      <c r="Q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>
      <c r="A19" s="46">
        <f t="shared" si="0"/>
        <v>9</v>
      </c>
      <c r="B19" s="28" t="s">
        <v>13</v>
      </c>
      <c r="C19" s="104">
        <v>27360.044000000002</v>
      </c>
      <c r="D19" s="104">
        <v>35116.858999999997</v>
      </c>
      <c r="E19" s="104">
        <v>43436.014999999999</v>
      </c>
      <c r="F19" s="104">
        <v>32762.904999999999</v>
      </c>
      <c r="G19" s="104">
        <v>33553.273000000001</v>
      </c>
      <c r="H19" s="104">
        <v>34550.987999999998</v>
      </c>
      <c r="I19" s="104">
        <v>28652.896000000001</v>
      </c>
      <c r="J19" s="104">
        <v>30975.852999999999</v>
      </c>
      <c r="K19" s="104">
        <v>32166.859</v>
      </c>
      <c r="L19" s="104">
        <v>26168.397000000001</v>
      </c>
      <c r="M19" s="104">
        <v>41506.540999999997</v>
      </c>
      <c r="N19" s="104">
        <v>42468.671000000002</v>
      </c>
      <c r="O19" s="104">
        <v>28385.580999999998</v>
      </c>
      <c r="P19" s="46">
        <f t="shared" si="1"/>
        <v>9</v>
      </c>
      <c r="Q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</row>
    <row r="20" spans="1:34">
      <c r="A20" s="46">
        <f t="shared" si="0"/>
        <v>10</v>
      </c>
      <c r="B20" s="44" t="s">
        <v>14</v>
      </c>
      <c r="C20" s="104">
        <v>18333.812000000002</v>
      </c>
      <c r="D20" s="104">
        <v>19627.059000000001</v>
      </c>
      <c r="E20" s="104">
        <v>21643.155999999999</v>
      </c>
      <c r="F20" s="104">
        <v>18792.738000000001</v>
      </c>
      <c r="G20" s="104">
        <v>16768.473000000002</v>
      </c>
      <c r="H20" s="104">
        <v>15606.927</v>
      </c>
      <c r="I20" s="104">
        <v>13330.726000000001</v>
      </c>
      <c r="J20" s="104">
        <v>13941.334999999999</v>
      </c>
      <c r="K20" s="104">
        <v>14086.584000000001</v>
      </c>
      <c r="L20" s="104">
        <v>14403.208000000001</v>
      </c>
      <c r="M20" s="104">
        <v>14821.208000000001</v>
      </c>
      <c r="N20" s="104">
        <v>22102.203000000001</v>
      </c>
      <c r="O20" s="104">
        <v>24576.587</v>
      </c>
      <c r="P20" s="46">
        <f t="shared" si="1"/>
        <v>10</v>
      </c>
      <c r="Q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</row>
    <row r="21" spans="1:34">
      <c r="A21" s="46">
        <f t="shared" si="0"/>
        <v>11</v>
      </c>
      <c r="B21" s="44" t="s">
        <v>15</v>
      </c>
      <c r="C21" s="104">
        <v>4608.6660000000002</v>
      </c>
      <c r="D21" s="104">
        <v>5775.2520000000004</v>
      </c>
      <c r="E21" s="104">
        <v>5268.17</v>
      </c>
      <c r="F21" s="104">
        <v>7657.8760000000002</v>
      </c>
      <c r="G21" s="104">
        <v>33201.572999999997</v>
      </c>
      <c r="H21" s="104">
        <v>138718.72099999999</v>
      </c>
      <c r="I21" s="104">
        <v>53588.514999999999</v>
      </c>
      <c r="J21" s="104">
        <v>19713.233</v>
      </c>
      <c r="K21" s="104">
        <v>6733.1080000000002</v>
      </c>
      <c r="L21" s="104">
        <v>2825.04</v>
      </c>
      <c r="M21" s="104">
        <v>3984.6030000000001</v>
      </c>
      <c r="N21" s="104">
        <v>1765.998</v>
      </c>
      <c r="O21" s="104">
        <v>4815.1229999999996</v>
      </c>
      <c r="P21" s="46">
        <f t="shared" si="1"/>
        <v>11</v>
      </c>
      <c r="Q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</row>
    <row r="22" spans="1:34">
      <c r="A22" s="46">
        <f t="shared" si="0"/>
        <v>12</v>
      </c>
      <c r="B22" s="44" t="s">
        <v>16</v>
      </c>
      <c r="C22" s="104">
        <v>278.21899999999999</v>
      </c>
      <c r="D22" s="104">
        <v>164.25800000000001</v>
      </c>
      <c r="E22" s="104">
        <v>117.033</v>
      </c>
      <c r="F22" s="104">
        <v>188.41399999999999</v>
      </c>
      <c r="G22" s="104">
        <v>107.535</v>
      </c>
      <c r="H22" s="104">
        <v>112.514</v>
      </c>
      <c r="I22" s="104">
        <v>133.214</v>
      </c>
      <c r="J22" s="104">
        <v>148.81899999999999</v>
      </c>
      <c r="K22" s="104">
        <v>186.63200000000001</v>
      </c>
      <c r="L22" s="104">
        <v>1162.271</v>
      </c>
      <c r="M22" s="104">
        <v>180.791</v>
      </c>
      <c r="N22" s="104">
        <v>650.62599999999998</v>
      </c>
      <c r="O22" s="104">
        <v>563.96</v>
      </c>
      <c r="P22" s="46">
        <f t="shared" si="1"/>
        <v>12</v>
      </c>
      <c r="Q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34">
      <c r="A23" s="46">
        <f t="shared" si="0"/>
        <v>13</v>
      </c>
      <c r="B23" s="44" t="s">
        <v>17</v>
      </c>
      <c r="C23" s="104">
        <v>672.75199999999995</v>
      </c>
      <c r="D23" s="104">
        <v>568.12300000000005</v>
      </c>
      <c r="E23" s="104">
        <v>572.76700000000005</v>
      </c>
      <c r="F23" s="104">
        <v>633.36</v>
      </c>
      <c r="G23" s="104">
        <v>1023.183</v>
      </c>
      <c r="H23" s="104">
        <v>-5.0090000000000003</v>
      </c>
      <c r="I23" s="104">
        <v>421.76100000000002</v>
      </c>
      <c r="J23" s="104">
        <v>461.86900000000003</v>
      </c>
      <c r="K23" s="104">
        <v>1143.1389999999999</v>
      </c>
      <c r="L23" s="104">
        <v>793.04700000000003</v>
      </c>
      <c r="M23" s="104">
        <v>1604.749</v>
      </c>
      <c r="N23" s="104">
        <v>1727.739</v>
      </c>
      <c r="O23" s="104">
        <v>1077.8530000000001</v>
      </c>
      <c r="P23" s="46">
        <f t="shared" si="1"/>
        <v>13</v>
      </c>
      <c r="Q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</row>
    <row r="24" spans="1:34">
      <c r="A24" s="46">
        <f>A23+1</f>
        <v>14</v>
      </c>
      <c r="C24" s="49"/>
      <c r="D24" s="49"/>
      <c r="E24" s="49"/>
      <c r="F24" s="49"/>
      <c r="G24" s="49"/>
      <c r="H24" s="49"/>
      <c r="L24" s="28"/>
      <c r="M24" s="28"/>
      <c r="N24" s="28"/>
      <c r="O24" s="28"/>
      <c r="P24" s="46">
        <f>P23+1</f>
        <v>14</v>
      </c>
      <c r="Q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</row>
    <row r="25" spans="1:34">
      <c r="A25" s="46">
        <f t="shared" si="0"/>
        <v>15</v>
      </c>
      <c r="B25" s="29" t="s">
        <v>1</v>
      </c>
      <c r="C25" s="49">
        <f t="shared" ref="C25:K25" si="2">SUM(C11:C23)</f>
        <v>214228.234</v>
      </c>
      <c r="D25" s="49">
        <f t="shared" si="2"/>
        <v>227530.81200000001</v>
      </c>
      <c r="E25" s="49">
        <f t="shared" si="2"/>
        <v>286414.59399999998</v>
      </c>
      <c r="F25" s="49">
        <f t="shared" si="2"/>
        <v>227179.65899999999</v>
      </c>
      <c r="G25" s="49">
        <f t="shared" si="2"/>
        <v>266936.42199999996</v>
      </c>
      <c r="H25" s="49">
        <f t="shared" si="2"/>
        <v>370904.28899999999</v>
      </c>
      <c r="I25" s="49">
        <f t="shared" si="2"/>
        <v>263548.47499999998</v>
      </c>
      <c r="J25" s="49">
        <f t="shared" si="2"/>
        <v>245314.731</v>
      </c>
      <c r="K25" s="49">
        <f t="shared" si="2"/>
        <v>242704.63</v>
      </c>
      <c r="L25" s="49">
        <f t="shared" ref="L25:M25" si="3">SUM(L11:L23)</f>
        <v>259549.23800000004</v>
      </c>
      <c r="M25" s="49">
        <f t="shared" si="3"/>
        <v>361852.01</v>
      </c>
      <c r="N25" s="49">
        <f t="shared" ref="N25:O25" si="4">SUM(N11:N23)</f>
        <v>341597.745</v>
      </c>
      <c r="O25" s="49">
        <f t="shared" si="4"/>
        <v>443068.64900000003</v>
      </c>
      <c r="P25" s="46">
        <f t="shared" si="1"/>
        <v>15</v>
      </c>
      <c r="Q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</row>
    <row r="26" spans="1:34">
      <c r="A26" s="46">
        <f>A25+1</f>
        <v>16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6">
        <f>P25+1</f>
        <v>16</v>
      </c>
    </row>
    <row r="27" spans="1:34">
      <c r="A27" s="46">
        <f t="shared" si="0"/>
        <v>17</v>
      </c>
      <c r="B27" s="28" t="s">
        <v>159</v>
      </c>
      <c r="C27" s="131">
        <v>0.2302381514533712</v>
      </c>
      <c r="D27" s="131">
        <v>0.2302381514533712</v>
      </c>
      <c r="E27" s="131">
        <v>0.2302381514533712</v>
      </c>
      <c r="F27" s="131">
        <v>0.2302381514533712</v>
      </c>
      <c r="G27" s="131">
        <v>0.2302381514533712</v>
      </c>
      <c r="H27" s="131">
        <v>0.13184487040338094</v>
      </c>
      <c r="I27" s="131">
        <v>0.13184487040338094</v>
      </c>
      <c r="J27" s="131">
        <v>0.13184487040338094</v>
      </c>
      <c r="K27" s="131">
        <v>0.13184487040338094</v>
      </c>
      <c r="L27" s="131">
        <v>7.5112770641432E-2</v>
      </c>
      <c r="M27" s="131">
        <v>7.5112770641432E-2</v>
      </c>
      <c r="N27" s="131">
        <v>7.5112770641432E-2</v>
      </c>
      <c r="O27" s="131">
        <f>'Distrib Capital Actual Data'!C56</f>
        <v>4.1080540309647896E-2</v>
      </c>
      <c r="P27" s="46">
        <f t="shared" si="1"/>
        <v>17</v>
      </c>
    </row>
    <row r="28" spans="1:34">
      <c r="A28" s="46">
        <f t="shared" si="0"/>
        <v>18</v>
      </c>
      <c r="B28" s="29" t="s">
        <v>160</v>
      </c>
      <c r="C28" s="49">
        <f>C27*SUM(C15:C18)+C11*SUM(C15:C18)/(C25-SUM(C19:C23)-C11)</f>
        <v>39927.790997391625</v>
      </c>
      <c r="D28" s="49">
        <f t="shared" ref="D28:O28" si="5">D27*SUM(D15:D18)+D11*SUM(D15:D18)/(D25-SUM(D19:D23)-D11)</f>
        <v>35914.302343287134</v>
      </c>
      <c r="E28" s="49">
        <f t="shared" si="5"/>
        <v>46167.285937211353</v>
      </c>
      <c r="F28" s="49">
        <f t="shared" si="5"/>
        <v>35896.850266197631</v>
      </c>
      <c r="G28" s="49">
        <f t="shared" si="5"/>
        <v>37557.302614326596</v>
      </c>
      <c r="H28" s="49">
        <f t="shared" si="5"/>
        <v>22044.699559318244</v>
      </c>
      <c r="I28" s="49">
        <f t="shared" si="5"/>
        <v>18938.749028893919</v>
      </c>
      <c r="J28" s="49">
        <f t="shared" si="5"/>
        <v>23598.272263026691</v>
      </c>
      <c r="K28" s="49">
        <f t="shared" si="5"/>
        <v>21627.072015451551</v>
      </c>
      <c r="L28" s="49">
        <f t="shared" si="5"/>
        <v>16647.62318146896</v>
      </c>
      <c r="M28" s="49">
        <f t="shared" si="5"/>
        <v>20740.928973644994</v>
      </c>
      <c r="N28" s="49">
        <f t="shared" si="5"/>
        <v>19827.434739148495</v>
      </c>
      <c r="O28" s="49">
        <f t="shared" si="5"/>
        <v>12623.874237436672</v>
      </c>
      <c r="P28" s="46">
        <f t="shared" si="1"/>
        <v>18</v>
      </c>
    </row>
    <row r="29" spans="1:34">
      <c r="A29" s="46">
        <f t="shared" si="0"/>
        <v>19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6">
        <f t="shared" si="1"/>
        <v>19</v>
      </c>
    </row>
    <row r="30" spans="1:34">
      <c r="A30" s="46">
        <f t="shared" si="0"/>
        <v>20</v>
      </c>
      <c r="B30" s="29" t="s">
        <v>161</v>
      </c>
      <c r="C30" s="132">
        <v>0.50828652017834319</v>
      </c>
      <c r="D30" s="132">
        <v>0.50828652017834319</v>
      </c>
      <c r="E30" s="132">
        <v>0.50828652017834319</v>
      </c>
      <c r="F30" s="132">
        <v>0.50828652017834319</v>
      </c>
      <c r="G30" s="132">
        <v>0.50828652017834319</v>
      </c>
      <c r="H30" s="132">
        <v>0.50828652017834319</v>
      </c>
      <c r="I30" s="132">
        <v>0.50828652017834319</v>
      </c>
      <c r="J30" s="132">
        <v>0.50828652017834319</v>
      </c>
      <c r="K30" s="132">
        <v>0.50828652017834319</v>
      </c>
      <c r="L30" s="132">
        <v>0.45861058471754712</v>
      </c>
      <c r="M30" s="132">
        <v>0.45861058471754712</v>
      </c>
      <c r="N30" s="132">
        <v>0.45861058471754712</v>
      </c>
      <c r="O30" s="132">
        <f>'Distrib Capital Actual Data'!C66</f>
        <v>0.49986615755830377</v>
      </c>
      <c r="P30" s="46">
        <f t="shared" si="1"/>
        <v>20</v>
      </c>
    </row>
    <row r="31" spans="1:34">
      <c r="A31" s="46">
        <f t="shared" si="0"/>
        <v>21</v>
      </c>
      <c r="B31" s="29" t="s">
        <v>2</v>
      </c>
      <c r="C31" s="49">
        <f>C30*(C12+C13)+C11*(C12+C13)/(C25-SUM(C19:C23)-C11)</f>
        <v>9811.5208330015739</v>
      </c>
      <c r="D31" s="49">
        <f t="shared" ref="D31:O31" si="6">D30*(D12+D13)+D11*(D12+D13)/(D25-SUM(D19:D23)-D11)</f>
        <v>7905.0283367624525</v>
      </c>
      <c r="E31" s="49">
        <f t="shared" si="6"/>
        <v>10705.867524024348</v>
      </c>
      <c r="F31" s="49">
        <f t="shared" si="6"/>
        <v>7496.714707188793</v>
      </c>
      <c r="G31" s="49">
        <f t="shared" si="6"/>
        <v>12241.722529894188</v>
      </c>
      <c r="H31" s="49">
        <f t="shared" si="6"/>
        <v>13347.371484855816</v>
      </c>
      <c r="I31" s="49">
        <f t="shared" si="6"/>
        <v>17557.103633676044</v>
      </c>
      <c r="J31" s="49">
        <f t="shared" si="6"/>
        <v>6304.4103075040321</v>
      </c>
      <c r="K31" s="49">
        <f t="shared" si="6"/>
        <v>13315.583507388126</v>
      </c>
      <c r="L31" s="49">
        <f t="shared" si="6"/>
        <v>19192.800413098226</v>
      </c>
      <c r="M31" s="49">
        <f t="shared" si="6"/>
        <v>4571.8524217923778</v>
      </c>
      <c r="N31" s="49">
        <f t="shared" si="6"/>
        <v>11688.738635415162</v>
      </c>
      <c r="O31" s="49">
        <f t="shared" si="6"/>
        <v>9515.9416374414195</v>
      </c>
      <c r="P31" s="46">
        <f t="shared" si="1"/>
        <v>21</v>
      </c>
    </row>
    <row r="32" spans="1:34"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</row>
    <row r="33" spans="1:15">
      <c r="A33" s="102" t="s">
        <v>79</v>
      </c>
      <c r="B33" s="53"/>
      <c r="C33" s="47"/>
      <c r="D33" s="47"/>
      <c r="H33" s="119"/>
      <c r="I33" s="50"/>
      <c r="J33" s="50"/>
    </row>
    <row r="34" spans="1:15">
      <c r="B34" s="99" t="s">
        <v>120</v>
      </c>
      <c r="C34" s="123"/>
      <c r="D34" s="123"/>
      <c r="E34" s="123"/>
      <c r="F34" s="123"/>
      <c r="G34" s="123"/>
      <c r="H34" s="123"/>
      <c r="I34" s="28"/>
      <c r="J34" s="28"/>
      <c r="K34" s="28"/>
      <c r="L34" s="28"/>
      <c r="M34" s="28"/>
    </row>
    <row r="35" spans="1:15">
      <c r="B35" s="101" t="s">
        <v>164</v>
      </c>
      <c r="C35" s="124"/>
      <c r="D35" s="124"/>
      <c r="E35" s="124"/>
      <c r="F35" s="124"/>
      <c r="G35" s="124"/>
      <c r="H35" s="124"/>
      <c r="I35" s="28"/>
      <c r="J35" s="28"/>
      <c r="K35" s="28"/>
      <c r="L35" s="28"/>
      <c r="M35" s="28"/>
    </row>
    <row r="36" spans="1:15">
      <c r="B36" s="101" t="s">
        <v>163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5">
      <c r="A37" s="130"/>
      <c r="B37" s="101" t="s">
        <v>165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5">
      <c r="A38" s="130"/>
      <c r="B38" s="101" t="s">
        <v>166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5">
      <c r="A39" s="130"/>
      <c r="B39" s="101" t="s">
        <v>162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5">
      <c r="A40" s="130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5"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</row>
    <row r="45" spans="1:15"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1:15"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1:15"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</row>
    <row r="48" spans="1:15">
      <c r="K48" s="135"/>
      <c r="L48" s="135"/>
      <c r="M48" s="135"/>
      <c r="N48" s="135"/>
      <c r="O48" s="135"/>
    </row>
  </sheetData>
  <mergeCells count="2">
    <mergeCell ref="A1:P1"/>
    <mergeCell ref="A2:P2"/>
  </mergeCells>
  <phoneticPr fontId="0" type="noConversion"/>
  <printOptions horizontalCentered="1"/>
  <pageMargins left="0.75" right="0.75" top="1" bottom="1" header="0.5" footer="0.5"/>
  <pageSetup scale="69" orientation="landscape" r:id="rId1"/>
  <headerFooter alignWithMargins="0">
    <oddFooter>&amp;L&amp;F  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13AD7A-6AD5-41E4-B122-14DCFCF69823}"/>
</file>

<file path=customXml/itemProps2.xml><?xml version="1.0" encoding="utf-8"?>
<ds:datastoreItem xmlns:ds="http://schemas.openxmlformats.org/officeDocument/2006/customXml" ds:itemID="{8BD9B19C-7F09-4404-8774-241D75D77EBC}">
  <ds:schemaRefs>
    <ds:schemaRef ds:uri="98b5a774-93ad-48ed-b3d9-82c8ebc4ce6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46A50D-4DE3-49E0-9417-177ED57F55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Tab Descriptions</vt:lpstr>
      <vt:lpstr>Marg Distrib Demand Cost Sum</vt:lpstr>
      <vt:lpstr>Marg F&amp;LD Costs</vt:lpstr>
      <vt:lpstr>Marg Substation Costs</vt:lpstr>
      <vt:lpstr>Marg F&amp;LD Cost Cal</vt:lpstr>
      <vt:lpstr>Marg Substation Cost Cal</vt:lpstr>
      <vt:lpstr>Distrib Capital Actual Data</vt:lpstr>
      <vt:lpstr>Distrib Capital Forecast Data</vt:lpstr>
      <vt:lpstr>Distrib Capital Historic Data</vt:lpstr>
      <vt:lpstr>Inputs</vt:lpstr>
      <vt:lpstr>'Distrib Capital Actual Data'!Print_Area</vt:lpstr>
      <vt:lpstr>'Distrib Capital Forecast Data'!Print_Area</vt:lpstr>
      <vt:lpstr>'Marg Distrib Demand Cost Sum'!Print_Area</vt:lpstr>
      <vt:lpstr>'Marg F&amp;LD Cost Cal'!Print_Area</vt:lpstr>
      <vt:lpstr>'Marg F&amp;LD Costs'!Print_Area</vt:lpstr>
      <vt:lpstr>'Marg Substation Cost Cal'!Print_Area</vt:lpstr>
      <vt:lpstr>'Marg Substation Costs'!Print_Area</vt:lpstr>
      <vt:lpstr>'Tab Descriptions'!Print_Area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Parsons</dc:creator>
  <cp:lastModifiedBy>Saxe, William</cp:lastModifiedBy>
  <cp:lastPrinted>2015-12-02T19:25:57Z</cp:lastPrinted>
  <dcterms:created xsi:type="dcterms:W3CDTF">2003-08-15T18:05:54Z</dcterms:created>
  <dcterms:modified xsi:type="dcterms:W3CDTF">2020-04-30T20:41:43Z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